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20" windowWidth="13980" windowHeight="8835" firstSheet="1" activeTab="1"/>
  </bookViews>
  <sheets>
    <sheet name="Konfig" sheetId="1" state="hidden" r:id="rId1"/>
    <sheet name="Sektion" sheetId="2" r:id="rId2"/>
    <sheet name="Zusammenfassung" sheetId="3" r:id="rId3"/>
  </sheets>
  <definedNames>
    <definedName name="_xlnm._FilterDatabase" localSheetId="2" hidden="1">'Zusammenfassung'!$A$12:$X$72</definedName>
    <definedName name="AKat">'Konfig'!$C$33</definedName>
    <definedName name="AMax">'Konfig'!$E$33</definedName>
    <definedName name="AMin">'Konfig'!$D$33</definedName>
    <definedName name="Anlass">'Konfig'!$B$2</definedName>
    <definedName name="_xlnm.Print_Area" localSheetId="0">'Konfig'!$A:$K</definedName>
    <definedName name="_xlnm.Print_Area" localSheetId="1">'Sektion'!$A:$K</definedName>
    <definedName name="_xlnm.Print_Area" localSheetId="2">'Zusammenfassung'!$A$7:$X$72</definedName>
    <definedName name="_xlnm.Print_Titles" localSheetId="2">'Zusammenfassung'!$7:$11</definedName>
    <definedName name="Gruppenname">#REF!</definedName>
    <definedName name="JJKat">'Konfig'!$C$31</definedName>
    <definedName name="JJMax">'Konfig'!$E$31</definedName>
    <definedName name="JJMin">'Konfig'!$D$31</definedName>
    <definedName name="JKat">'Konfig'!$C$32</definedName>
    <definedName name="JMax">'Konfig'!$E$32</definedName>
    <definedName name="JMin">'Konfig'!$D$32</definedName>
    <definedName name="OrgSektion">'Konfig'!$B$4</definedName>
    <definedName name="Ort">'Konfig'!$B$3</definedName>
    <definedName name="PreisStich1">'Konfig'!$D$16</definedName>
    <definedName name="PreisStich10">'Konfig'!$D$25</definedName>
    <definedName name="PreisStich11">'Konfig'!$D$26</definedName>
    <definedName name="PreisStich12">'Konfig'!$D$27</definedName>
    <definedName name="PreisStich2">'Konfig'!$D$17</definedName>
    <definedName name="PreisStich3">'Konfig'!$D$18</definedName>
    <definedName name="PreisStich4">'Konfig'!$D$19</definedName>
    <definedName name="PreisStich5">'Konfig'!$D$20</definedName>
    <definedName name="PreisStich6">'Konfig'!$D$21</definedName>
    <definedName name="PreisStich7">'Konfig'!$D$22</definedName>
    <definedName name="PreisStich8">'Konfig'!$D$23</definedName>
    <definedName name="PreisStich9">'Konfig'!$D$24</definedName>
    <definedName name="PreisStichJun1">'Konfig'!$E$16</definedName>
    <definedName name="PreisStichJun10">'Konfig'!$E$25</definedName>
    <definedName name="PreisStichJun11">'Konfig'!$E$26</definedName>
    <definedName name="PreisStichJun12">'Konfig'!$E$27</definedName>
    <definedName name="PreisStichJun2">'Konfig'!$E$17</definedName>
    <definedName name="PreisStichJun3">'Konfig'!$E$18</definedName>
    <definedName name="PreisStichJun4">'Konfig'!$E$19</definedName>
    <definedName name="PreisStichJun5">'Konfig'!$E$20</definedName>
    <definedName name="PreisStichJun6">'Konfig'!$E$21</definedName>
    <definedName name="PreisStichJun7">'Konfig'!$E$22</definedName>
    <definedName name="PreisStichJun8">'Konfig'!$E$23</definedName>
    <definedName name="PreisStichJun9">'Konfig'!$E$24</definedName>
    <definedName name="Schuss1">'Konfig'!$F$16</definedName>
    <definedName name="Schuss10">'Konfig'!$F$25</definedName>
    <definedName name="Schuss11">'Konfig'!$F$26</definedName>
    <definedName name="Schuss12">'Konfig'!$F$27</definedName>
    <definedName name="Schuss2">'Konfig'!$F$17</definedName>
    <definedName name="Schuss3">'Konfig'!$F$18</definedName>
    <definedName name="Schuss4">'Konfig'!$F$19</definedName>
    <definedName name="Schuss5">'Konfig'!$F$20</definedName>
    <definedName name="Schuss6">'Konfig'!$F$21</definedName>
    <definedName name="Schuss7">'Konfig'!$F$22</definedName>
    <definedName name="Schuss8">'Konfig'!$F$23</definedName>
    <definedName name="Schuss9">'Konfig'!$F$24</definedName>
    <definedName name="Sektion">'Sektion'!$B$8</definedName>
    <definedName name="SektionTeilahme">'Sektion'!$F$8</definedName>
    <definedName name="SKat">'Konfig'!$C$34</definedName>
    <definedName name="SMax">'Konfig'!$E$34</definedName>
    <definedName name="SMin">'Konfig'!$D$34</definedName>
    <definedName name="Stich1">'Konfig'!$C$16</definedName>
    <definedName name="Stich10">'Konfig'!$C$25</definedName>
    <definedName name="Stich11">'Konfig'!$C$26</definedName>
    <definedName name="Stich12">'Konfig'!$C$27</definedName>
    <definedName name="Stich2">'Konfig'!$C$17</definedName>
    <definedName name="Stich3">'Konfig'!$C$18</definedName>
    <definedName name="Stich4">'Konfig'!$C$19</definedName>
    <definedName name="Stich5">'Konfig'!$C$20</definedName>
    <definedName name="Stich6">'Konfig'!$C$21</definedName>
    <definedName name="Stich7">'Konfig'!$C$22</definedName>
    <definedName name="Stich8">'Konfig'!$C$23</definedName>
    <definedName name="Stich9">'Konfig'!$C$24</definedName>
    <definedName name="Tag1">'Konfig'!$C$8</definedName>
    <definedName name="Tag1Nachm_bis">'Konfig'!$G$8</definedName>
    <definedName name="Tag1Nachm_von">'Konfig'!$F$8</definedName>
    <definedName name="Tag1Vorm_bis">'Konfig'!$E$8</definedName>
    <definedName name="Tag1Vorm_von">'Konfig'!$D$8</definedName>
    <definedName name="Tag2">'Konfig'!$C$9</definedName>
    <definedName name="Tag2Nachm_bis">'Konfig'!$G$9</definedName>
    <definedName name="Tag2Nachm_von">'Konfig'!$F$9</definedName>
    <definedName name="Tag2Vorm_bis">'Konfig'!$E$9</definedName>
    <definedName name="Tag2Vorm_von">'Konfig'!$D$9</definedName>
    <definedName name="Tag3">'Konfig'!$C$10</definedName>
    <definedName name="Tag3Nachm_bis">'Konfig'!$G$10</definedName>
    <definedName name="Tag3Nachm_von">'Konfig'!$F$10</definedName>
    <definedName name="Tag3Vorm_bis">'Konfig'!$E$10</definedName>
    <definedName name="Tag3Vorm_von">'Konfig'!$D$10</definedName>
    <definedName name="Tag4">'Konfig'!$C$11</definedName>
    <definedName name="Tag4Nachm_bis">'Konfig'!$G$11</definedName>
    <definedName name="Tag4Nachm_von">'Konfig'!$F$11</definedName>
    <definedName name="Tag4Vorm_bis">'Konfig'!$E$11</definedName>
    <definedName name="Tag4Vorm_von">'Konfig'!$D$11</definedName>
    <definedName name="Tag5">'Konfig'!$C$12</definedName>
    <definedName name="Tag5Nachm_bis">'Konfig'!$G$12</definedName>
    <definedName name="Tag5Nachm_von">'Konfig'!$F$12</definedName>
    <definedName name="Tag5Vorm_bis">'Konfig'!$E$12</definedName>
    <definedName name="Tag5Vorm_von">'Konfig'!$D$12</definedName>
    <definedName name="Tag6">'Konfig'!$C$13</definedName>
    <definedName name="Tag6Nachm_bis">'Konfig'!$G$13</definedName>
    <definedName name="Tag6Nachm_von">'Konfig'!$F$13</definedName>
    <definedName name="Tag6Vorm_bis">'Konfig'!$E$13</definedName>
    <definedName name="Tag6Vorm_von">'Konfig'!$D$13</definedName>
    <definedName name="VKat">'Konfig'!$C$35</definedName>
    <definedName name="VMax">'Konfig'!$E$35</definedName>
    <definedName name="VMin">'Konfig'!$D$35</definedName>
    <definedName name="VVKat">'Konfig'!$C$36</definedName>
    <definedName name="VVMax">'Konfig'!$E$36</definedName>
    <definedName name="VVMin">'Konfig'!$D$36</definedName>
  </definedNames>
  <calcPr fullCalcOnLoad="1"/>
</workbook>
</file>

<file path=xl/sharedStrings.xml><?xml version="1.0" encoding="utf-8"?>
<sst xmlns="http://schemas.openxmlformats.org/spreadsheetml/2006/main" count="116" uniqueCount="88">
  <si>
    <t>Sektion</t>
  </si>
  <si>
    <t>Kehr</t>
  </si>
  <si>
    <t>Kranz HD</t>
  </si>
  <si>
    <t>Kranz ND</t>
  </si>
  <si>
    <t>Datum</t>
  </si>
  <si>
    <t>Anmeldeformular</t>
  </si>
  <si>
    <t>Sektionsanmeldung</t>
  </si>
  <si>
    <t>Sektion:</t>
  </si>
  <si>
    <t>Gruppennummer</t>
  </si>
  <si>
    <t>V</t>
  </si>
  <si>
    <t>Bezeichnung</t>
  </si>
  <si>
    <t>Kontaktperson der Sektion</t>
  </si>
  <si>
    <t>Name, Vorname</t>
  </si>
  <si>
    <t>Adresse</t>
  </si>
  <si>
    <t>PLZ/ Ort</t>
  </si>
  <si>
    <t>Telefon</t>
  </si>
  <si>
    <t>e-Mail</t>
  </si>
  <si>
    <t>Stichlegende</t>
  </si>
  <si>
    <t>Preise</t>
  </si>
  <si>
    <t>Aktive, V, EV</t>
  </si>
  <si>
    <t>Jun.</t>
  </si>
  <si>
    <t>Zusammenzug der Sektion:</t>
  </si>
  <si>
    <t>Name des Schützen</t>
  </si>
  <si>
    <t>von</t>
  </si>
  <si>
    <t>bis</t>
  </si>
  <si>
    <t>JG</t>
  </si>
  <si>
    <t>Gr. Nr.</t>
  </si>
  <si>
    <t>Stellungscodes: A = Aufgelegt; F = Frei</t>
  </si>
  <si>
    <t>Gruppennummer
gemäss Sektionenblatt</t>
  </si>
  <si>
    <t>JJ</t>
  </si>
  <si>
    <t>Jugend</t>
  </si>
  <si>
    <t>Junioren</t>
  </si>
  <si>
    <t>J</t>
  </si>
  <si>
    <t>Aktive</t>
  </si>
  <si>
    <t>Senioren</t>
  </si>
  <si>
    <t>Veteranen</t>
  </si>
  <si>
    <t>Ehren Veteranen</t>
  </si>
  <si>
    <t>VV</t>
  </si>
  <si>
    <t xml:space="preserve">von </t>
  </si>
  <si>
    <t>Alter</t>
  </si>
  <si>
    <t>Jahrgang</t>
  </si>
  <si>
    <t>Betrag</t>
  </si>
  <si>
    <t>Anz. Schützen</t>
  </si>
  <si>
    <t>Anlass</t>
  </si>
  <si>
    <t>Ort</t>
  </si>
  <si>
    <t>Schiesszeiten</t>
  </si>
  <si>
    <t>Vormittag</t>
  </si>
  <si>
    <t>Nachmittag</t>
  </si>
  <si>
    <t>Stiche</t>
  </si>
  <si>
    <t>Elite</t>
  </si>
  <si>
    <t>Standblatt inkl. Soli Abgabe</t>
  </si>
  <si>
    <t>Übungskehr pro Passe</t>
  </si>
  <si>
    <t>Anz Schuss</t>
  </si>
  <si>
    <t>Vorschau:</t>
  </si>
  <si>
    <t>Anzahl Schuss</t>
  </si>
  <si>
    <t xml:space="preserve"> </t>
  </si>
  <si>
    <t>Herisau</t>
  </si>
  <si>
    <t>ASV Herisau-Waldstatt</t>
  </si>
  <si>
    <t>5. Tag</t>
  </si>
  <si>
    <t>1. Tag</t>
  </si>
  <si>
    <t>2. Tag</t>
  </si>
  <si>
    <t>3. Tag</t>
  </si>
  <si>
    <t>4. Tag</t>
  </si>
  <si>
    <t>Gruppe</t>
  </si>
  <si>
    <t>Stellung</t>
  </si>
  <si>
    <t>Stichpreis</t>
  </si>
  <si>
    <t>Stichpreis Junioren</t>
  </si>
  <si>
    <t>Anz. 
Schuss</t>
  </si>
  <si>
    <t>Anz Rangeur</t>
  </si>
  <si>
    <t>Biber ND</t>
  </si>
  <si>
    <t>Auszahlungsstich</t>
  </si>
  <si>
    <t>Auszahlung</t>
  </si>
  <si>
    <t>Biber HD</t>
  </si>
  <si>
    <t>Standblatt</t>
  </si>
  <si>
    <t>Kat.</t>
  </si>
  <si>
    <t>Rangeurzeit: 1Rangeur =</t>
  </si>
  <si>
    <t>Konto Nummer</t>
  </si>
  <si>
    <t>6. Tag</t>
  </si>
  <si>
    <t>(Reserve)</t>
  </si>
  <si>
    <t>Biberschiessen des ASV Herisau-Waldstatt</t>
  </si>
  <si>
    <t>Gruppendoppel CHF 15.-/Gruppe</t>
  </si>
  <si>
    <t>Glückstich (Nachdoppel)</t>
  </si>
  <si>
    <t>Glückstich (Mouchen)</t>
  </si>
  <si>
    <t>Anz Stich</t>
  </si>
  <si>
    <t>S</t>
  </si>
  <si>
    <r>
      <t xml:space="preserve">Gruppenname
</t>
    </r>
    <r>
      <rPr>
        <sz val="10"/>
        <color indexed="13"/>
        <rFont val="Arial"/>
        <family val="2"/>
      </rPr>
      <t>(im Feld überschreiben)</t>
    </r>
  </si>
  <si>
    <t>nein</t>
  </si>
  <si>
    <t>&lt;- Sektionsteilnahme? (Ja oder X)</t>
  </si>
</sst>
</file>

<file path=xl/styles.xml><?xml version="1.0" encoding="utf-8"?>
<styleSheet xmlns="http://schemas.openxmlformats.org/spreadsheetml/2006/main">
  <numFmts count="52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h:mm"/>
    <numFmt numFmtId="185" formatCode="mm"/>
    <numFmt numFmtId="186" formatCode="[$CHF-1407]\ #,##0.00"/>
    <numFmt numFmtId="187" formatCode="_ [$CHF-1407]\ * #,##0.00_ ;_ [$CHF-1407]\ * \-#,##0.00_ ;_ [$CHF-1407]\ * &quot;-&quot;??_ ;_ @_ "/>
    <numFmt numFmtId="188" formatCode="[$-F400]h:mm:ss\ AM/PM"/>
    <numFmt numFmtId="189" formatCode="[$-807]dddd\,\ d\.\ mmmm\ yyyy"/>
    <numFmt numFmtId="190" formatCode="hh/mm&quot; h&quot;;@"/>
    <numFmt numFmtId="191" formatCode="dd/mm/yyyy;@"/>
    <numFmt numFmtId="192" formatCode="h/mm&quot; Uhr&quot;;@"/>
    <numFmt numFmtId="193" formatCode="h/mm&quot; h&quot;;@"/>
    <numFmt numFmtId="194" formatCode="dd/mm/yy;@"/>
    <numFmt numFmtId="195" formatCode="ddd\ dd/mm/yy;@"/>
    <numFmt numFmtId="196" formatCode="mmm\ yyyy"/>
    <numFmt numFmtId="197" formatCode="_ [$CHF]\ * #,##0.00_ ;_ [$CHF]\ * \-#,##0.00_ ;_ [$CHF]\ * &quot;-&quot;??_ ;_ @_ "/>
    <numFmt numFmtId="198" formatCode="dd:hh:mm:ss"/>
    <numFmt numFmtId="199" formatCode="dd:hh"/>
    <numFmt numFmtId="200" formatCode="ddd/\ dd/mm/yy;@"/>
    <numFmt numFmtId="201" formatCode="h"/>
    <numFmt numFmtId="202" formatCode="#,##0_ ;\-#,##0\ "/>
    <numFmt numFmtId="203" formatCode="_(* #,##0_);_(* \(#,##0\);_(* &quot;-&quot;_);_(@_)"/>
    <numFmt numFmtId="204" formatCode="_(* #,##0.00_);_(* \(#,##0.00\);_(* &quot;-&quot;??_);_(@_)"/>
    <numFmt numFmtId="205" formatCode="_(&quot;$&quot;* #,##0.00_);_(&quot;$&quot;* \(#,##0.00\);_(&quot;$&quot;* &quot;-&quot;??_);_(@_)"/>
    <numFmt numFmtId="206" formatCode="_(&quot;$&quot;* #,##0_);_(&quot;$&quot;* \(#,##0\);_(&quot;$&quot;* &quot;-&quot;_);_(@_)"/>
    <numFmt numFmtId="207" formatCode="ddd\ dd/mm/yyyy"/>
  </numFmts>
  <fonts count="5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6"/>
      <name val="Arial"/>
      <family val="2"/>
    </font>
    <font>
      <b/>
      <sz val="14"/>
      <color indexed="13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i/>
      <sz val="16"/>
      <color indexed="13"/>
      <name val="Arial"/>
      <family val="2"/>
    </font>
    <font>
      <b/>
      <i/>
      <sz val="11"/>
      <color indexed="13"/>
      <name val="Arial"/>
      <family val="2"/>
    </font>
    <font>
      <b/>
      <i/>
      <sz val="10"/>
      <color indexed="13"/>
      <name val="Arial"/>
      <family val="2"/>
    </font>
    <font>
      <b/>
      <sz val="11"/>
      <color indexed="13"/>
      <name val="Arial"/>
      <family val="2"/>
    </font>
    <font>
      <b/>
      <i/>
      <u val="single"/>
      <sz val="11"/>
      <color indexed="13"/>
      <name val="Arial"/>
      <family val="2"/>
    </font>
    <font>
      <b/>
      <sz val="10"/>
      <color indexed="13"/>
      <name val="Arial"/>
      <family val="2"/>
    </font>
    <font>
      <b/>
      <sz val="16"/>
      <name val="Arial"/>
      <family val="2"/>
    </font>
    <font>
      <b/>
      <sz val="14"/>
      <color indexed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50"/>
      <name val="Calibri"/>
      <family val="2"/>
    </font>
    <font>
      <sz val="11"/>
      <color indexed="12"/>
      <name val="Calibri"/>
      <family val="2"/>
    </font>
    <font>
      <sz val="11"/>
      <color indexed="19"/>
      <name val="Calibri"/>
      <family val="2"/>
    </font>
    <font>
      <b/>
      <sz val="18"/>
      <color indexed="18"/>
      <name val="Cambria"/>
      <family val="2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FF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99"/>
        <bgColor indexed="64"/>
      </patternFill>
    </fill>
  </fills>
  <borders count="6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 style="thin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20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7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 horizontal="center"/>
      <protection/>
    </xf>
    <xf numFmtId="191" fontId="0" fillId="33" borderId="0" xfId="0" applyNumberFormat="1" applyFill="1" applyAlignment="1" applyProtection="1">
      <alignment horizontal="center"/>
      <protection/>
    </xf>
    <xf numFmtId="20" fontId="0" fillId="33" borderId="0" xfId="0" applyNumberFormat="1" applyFill="1" applyAlignment="1" applyProtection="1">
      <alignment horizontal="center"/>
      <protection/>
    </xf>
    <xf numFmtId="1" fontId="0" fillId="33" borderId="0" xfId="0" applyNumberFormat="1" applyFill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8" fillId="33" borderId="0" xfId="0" applyFont="1" applyFill="1" applyAlignment="1" applyProtection="1">
      <alignment horizontal="left"/>
      <protection/>
    </xf>
    <xf numFmtId="0" fontId="16" fillId="33" borderId="0" xfId="0" applyFont="1" applyFill="1" applyAlignment="1" applyProtection="1">
      <alignment horizontal="left"/>
      <protection/>
    </xf>
    <xf numFmtId="0" fontId="1" fillId="33" borderId="0" xfId="0" applyFont="1" applyFill="1" applyBorder="1" applyAlignment="1" applyProtection="1">
      <alignment horizontal="center"/>
      <protection/>
    </xf>
    <xf numFmtId="20" fontId="1" fillId="33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191" fontId="0" fillId="0" borderId="0" xfId="0" applyNumberFormat="1" applyAlignment="1" applyProtection="1">
      <alignment horizontal="center"/>
      <protection/>
    </xf>
    <xf numFmtId="20" fontId="0" fillId="0" borderId="0" xfId="0" applyNumberFormat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Border="1" applyAlignment="1">
      <alignment/>
    </xf>
    <xf numFmtId="20" fontId="0" fillId="33" borderId="0" xfId="0" applyNumberFormat="1" applyFill="1" applyBorder="1" applyAlignment="1" applyProtection="1">
      <alignment horizontal="center" vertical="center"/>
      <protection/>
    </xf>
    <xf numFmtId="1" fontId="0" fillId="33" borderId="0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201" fontId="0" fillId="0" borderId="0" xfId="0" applyNumberFormat="1" applyBorder="1" applyAlignment="1">
      <alignment horizontal="left"/>
    </xf>
    <xf numFmtId="0" fontId="0" fillId="0" borderId="0" xfId="0" applyFont="1" applyBorder="1" applyAlignment="1">
      <alignment horizontal="center"/>
    </xf>
    <xf numFmtId="200" fontId="0" fillId="0" borderId="0" xfId="0" applyNumberFormat="1" applyFont="1" applyBorder="1" applyAlignment="1">
      <alignment/>
    </xf>
    <xf numFmtId="20" fontId="0" fillId="0" borderId="0" xfId="0" applyNumberFormat="1" applyFon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197" fontId="0" fillId="0" borderId="0" xfId="0" applyNumberFormat="1" applyBorder="1" applyAlignment="1">
      <alignment/>
    </xf>
    <xf numFmtId="197" fontId="0" fillId="0" borderId="0" xfId="0" applyNumberFormat="1" applyBorder="1" applyAlignment="1">
      <alignment horizontal="center"/>
    </xf>
    <xf numFmtId="202" fontId="0" fillId="0" borderId="0" xfId="0" applyNumberFormat="1" applyBorder="1" applyAlignment="1">
      <alignment horizont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10" xfId="0" applyFont="1" applyFill="1" applyBorder="1" applyAlignment="1" applyProtection="1">
      <alignment/>
      <protection/>
    </xf>
    <xf numFmtId="0" fontId="1" fillId="0" borderId="11" xfId="0" applyFont="1" applyFill="1" applyBorder="1" applyAlignment="1" applyProtection="1">
      <alignment horizontal="center"/>
      <protection/>
    </xf>
    <xf numFmtId="193" fontId="1" fillId="34" borderId="12" xfId="0" applyNumberFormat="1" applyFont="1" applyFill="1" applyBorder="1" applyAlignment="1" applyProtection="1">
      <alignment horizontal="center" vertical="center"/>
      <protection/>
    </xf>
    <xf numFmtId="0" fontId="9" fillId="35" borderId="13" xfId="0" applyFont="1" applyFill="1" applyBorder="1" applyAlignment="1" applyProtection="1">
      <alignment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5" fillId="35" borderId="16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 applyProtection="1">
      <alignment/>
      <protection/>
    </xf>
    <xf numFmtId="0" fontId="9" fillId="35" borderId="16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/>
      <protection/>
    </xf>
    <xf numFmtId="0" fontId="8" fillId="35" borderId="16" xfId="0" applyFont="1" applyFill="1" applyBorder="1" applyAlignment="1" applyProtection="1">
      <alignment/>
      <protection/>
    </xf>
    <xf numFmtId="0" fontId="5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left"/>
      <protection/>
    </xf>
    <xf numFmtId="0" fontId="10" fillId="35" borderId="16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7" xfId="0" applyFill="1" applyBorder="1" applyAlignment="1" applyProtection="1">
      <alignment vertical="center"/>
      <protection/>
    </xf>
    <xf numFmtId="0" fontId="7" fillId="35" borderId="16" xfId="0" applyFont="1" applyFill="1" applyBorder="1" applyAlignment="1" applyProtection="1">
      <alignment vertical="center"/>
      <protection/>
    </xf>
    <xf numFmtId="0" fontId="7" fillId="35" borderId="0" xfId="0" applyFont="1" applyFill="1" applyBorder="1" applyAlignment="1" applyProtection="1">
      <alignment vertical="center"/>
      <protection/>
    </xf>
    <xf numFmtId="0" fontId="11" fillId="35" borderId="16" xfId="0" applyFont="1" applyFill="1" applyBorder="1" applyAlignment="1" applyProtection="1">
      <alignment horizontal="center" vertical="center"/>
      <protection/>
    </xf>
    <xf numFmtId="0" fontId="11" fillId="35" borderId="0" xfId="0" applyFont="1" applyFill="1" applyBorder="1" applyAlignment="1" applyProtection="1">
      <alignment vertical="center"/>
      <protection/>
    </xf>
    <xf numFmtId="0" fontId="13" fillId="35" borderId="0" xfId="0" applyFont="1" applyFill="1" applyBorder="1" applyAlignment="1" applyProtection="1">
      <alignment vertical="center"/>
      <protection/>
    </xf>
    <xf numFmtId="0" fontId="12" fillId="35" borderId="16" xfId="0" applyFont="1" applyFill="1" applyBorder="1" applyAlignment="1" applyProtection="1">
      <alignment horizontal="center" vertical="center"/>
      <protection/>
    </xf>
    <xf numFmtId="187" fontId="7" fillId="35" borderId="0" xfId="0" applyNumberFormat="1" applyFont="1" applyFill="1" applyBorder="1" applyAlignment="1" applyProtection="1">
      <alignment vertical="center"/>
      <protection/>
    </xf>
    <xf numFmtId="0" fontId="13" fillId="35" borderId="16" xfId="0" applyFont="1" applyFill="1" applyBorder="1" applyAlignment="1" applyProtection="1">
      <alignment vertical="center"/>
      <protection/>
    </xf>
    <xf numFmtId="0" fontId="14" fillId="35" borderId="16" xfId="0" applyFont="1" applyFill="1" applyBorder="1" applyAlignment="1" applyProtection="1">
      <alignment vertic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169" fontId="1" fillId="0" borderId="20" xfId="0" applyNumberFormat="1" applyFont="1" applyFill="1" applyBorder="1" applyAlignment="1" applyProtection="1">
      <alignment/>
      <protection/>
    </xf>
    <xf numFmtId="169" fontId="1" fillId="0" borderId="19" xfId="0" applyNumberFormat="1" applyFont="1" applyFill="1" applyBorder="1" applyAlignment="1" applyProtection="1">
      <alignment/>
      <protection/>
    </xf>
    <xf numFmtId="169" fontId="1" fillId="0" borderId="2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97" fontId="0" fillId="0" borderId="0" xfId="0" applyNumberFormat="1" applyBorder="1" applyAlignment="1">
      <alignment/>
    </xf>
    <xf numFmtId="197" fontId="0" fillId="0" borderId="0" xfId="0" applyNumberFormat="1" applyFont="1" applyBorder="1" applyAlignment="1">
      <alignment/>
    </xf>
    <xf numFmtId="202" fontId="0" fillId="0" borderId="0" xfId="0" applyNumberFormat="1" applyFont="1" applyBorder="1" applyAlignment="1">
      <alignment horizontal="center"/>
    </xf>
    <xf numFmtId="169" fontId="1" fillId="0" borderId="22" xfId="0" applyNumberFormat="1" applyFont="1" applyFill="1" applyBorder="1" applyAlignment="1" applyProtection="1">
      <alignment/>
      <protection/>
    </xf>
    <xf numFmtId="169" fontId="1" fillId="0" borderId="23" xfId="0" applyNumberFormat="1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 horizontal="center" vertical="center" wrapText="1"/>
      <protection/>
    </xf>
    <xf numFmtId="0" fontId="1" fillId="0" borderId="24" xfId="0" applyFont="1" applyFill="1" applyBorder="1" applyAlignment="1" applyProtection="1">
      <alignment horizontal="center" vertical="center" wrapText="1"/>
      <protection/>
    </xf>
    <xf numFmtId="0" fontId="1" fillId="0" borderId="25" xfId="0" applyFont="1" applyFill="1" applyBorder="1" applyAlignment="1" applyProtection="1">
      <alignment horizontal="center" vertical="center"/>
      <protection/>
    </xf>
    <xf numFmtId="202" fontId="1" fillId="0" borderId="26" xfId="0" applyNumberFormat="1" applyFont="1" applyFill="1" applyBorder="1" applyAlignment="1" applyProtection="1">
      <alignment horizontal="center"/>
      <protection/>
    </xf>
    <xf numFmtId="202" fontId="1" fillId="0" borderId="21" xfId="0" applyNumberFormat="1" applyFont="1" applyFill="1" applyBorder="1" applyAlignment="1" applyProtection="1">
      <alignment horizont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0" fontId="54" fillId="35" borderId="0" xfId="0" applyFont="1" applyFill="1" applyBorder="1" applyAlignment="1" applyProtection="1">
      <alignment horizontal="right"/>
      <protection/>
    </xf>
    <xf numFmtId="0" fontId="54" fillId="35" borderId="17" xfId="0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vertical="center"/>
      <protection/>
    </xf>
    <xf numFmtId="0" fontId="1" fillId="35" borderId="0" xfId="0" applyFont="1" applyFill="1" applyBorder="1" applyAlignment="1" applyProtection="1">
      <alignment horizontal="center" vertical="center"/>
      <protection/>
    </xf>
    <xf numFmtId="0" fontId="8" fillId="35" borderId="27" xfId="0" applyFont="1" applyFill="1" applyBorder="1" applyAlignment="1" applyProtection="1">
      <alignment/>
      <protection/>
    </xf>
    <xf numFmtId="0" fontId="0" fillId="35" borderId="28" xfId="0" applyFill="1" applyBorder="1" applyAlignment="1" applyProtection="1">
      <alignment/>
      <protection/>
    </xf>
    <xf numFmtId="0" fontId="0" fillId="35" borderId="29" xfId="0" applyFill="1" applyBorder="1" applyAlignment="1" applyProtection="1">
      <alignment/>
      <protection/>
    </xf>
    <xf numFmtId="0" fontId="0" fillId="0" borderId="30" xfId="0" applyBorder="1" applyAlignment="1" applyProtection="1">
      <alignment horizontal="right"/>
      <protection/>
    </xf>
    <xf numFmtId="0" fontId="18" fillId="36" borderId="31" xfId="0" applyFont="1" applyFill="1" applyBorder="1" applyAlignment="1" applyProtection="1">
      <alignment vertical="center"/>
      <protection locked="0"/>
    </xf>
    <xf numFmtId="0" fontId="18" fillId="36" borderId="32" xfId="0" applyFont="1" applyFill="1" applyBorder="1" applyAlignment="1" applyProtection="1">
      <alignment horizontal="center" vertical="center"/>
      <protection locked="0"/>
    </xf>
    <xf numFmtId="0" fontId="18" fillId="36" borderId="33" xfId="0" applyFont="1" applyFill="1" applyBorder="1" applyAlignment="1" applyProtection="1">
      <alignment horizontal="center" vertical="center"/>
      <protection locked="0"/>
    </xf>
    <xf numFmtId="0" fontId="18" fillId="0" borderId="19" xfId="0" applyFont="1" applyFill="1" applyBorder="1" applyAlignment="1" applyProtection="1">
      <alignment horizontal="center" vertical="center"/>
      <protection/>
    </xf>
    <xf numFmtId="0" fontId="18" fillId="0" borderId="34" xfId="0" applyFont="1" applyFill="1" applyBorder="1" applyAlignment="1" applyProtection="1">
      <alignment horizontal="center" vertical="center"/>
      <protection/>
    </xf>
    <xf numFmtId="187" fontId="18" fillId="0" borderId="35" xfId="0" applyNumberFormat="1" applyFont="1" applyFill="1" applyBorder="1" applyAlignment="1" applyProtection="1">
      <alignment vertical="center"/>
      <protection/>
    </xf>
    <xf numFmtId="20" fontId="18" fillId="0" borderId="36" xfId="0" applyNumberFormat="1" applyFont="1" applyFill="1" applyBorder="1" applyAlignment="1" applyProtection="1">
      <alignment horizontal="center" vertical="center"/>
      <protection/>
    </xf>
    <xf numFmtId="0" fontId="18" fillId="36" borderId="20" xfId="0" applyFont="1" applyFill="1" applyBorder="1" applyAlignment="1" applyProtection="1">
      <alignment vertical="center"/>
      <protection locked="0"/>
    </xf>
    <xf numFmtId="0" fontId="18" fillId="36" borderId="19" xfId="0" applyFont="1" applyFill="1" applyBorder="1" applyAlignment="1" applyProtection="1">
      <alignment horizontal="center" vertical="center"/>
      <protection locked="0"/>
    </xf>
    <xf numFmtId="0" fontId="18" fillId="36" borderId="37" xfId="0" applyFont="1" applyFill="1" applyBorder="1" applyAlignment="1" applyProtection="1">
      <alignment horizontal="center" vertical="center"/>
      <protection locked="0"/>
    </xf>
    <xf numFmtId="0" fontId="18" fillId="0" borderId="38" xfId="0" applyFont="1" applyFill="1" applyBorder="1" applyAlignment="1" applyProtection="1">
      <alignment horizontal="center" vertical="center"/>
      <protection/>
    </xf>
    <xf numFmtId="191" fontId="18" fillId="36" borderId="20" xfId="0" applyNumberFormat="1" applyFont="1" applyFill="1" applyBorder="1" applyAlignment="1" applyProtection="1">
      <alignment horizontal="center" vertical="center"/>
      <protection locked="0"/>
    </xf>
    <xf numFmtId="0" fontId="18" fillId="36" borderId="26" xfId="0" applyFont="1" applyFill="1" applyBorder="1" applyAlignment="1" applyProtection="1">
      <alignment vertical="center"/>
      <protection locked="0"/>
    </xf>
    <xf numFmtId="0" fontId="18" fillId="36" borderId="21" xfId="0" applyFont="1" applyFill="1" applyBorder="1" applyAlignment="1" applyProtection="1">
      <alignment horizontal="center" vertical="center"/>
      <protection locked="0"/>
    </xf>
    <xf numFmtId="0" fontId="18" fillId="36" borderId="39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/>
    </xf>
    <xf numFmtId="187" fontId="18" fillId="0" borderId="25" xfId="0" applyNumberFormat="1" applyFont="1" applyFill="1" applyBorder="1" applyAlignment="1" applyProtection="1">
      <alignment vertical="center"/>
      <protection/>
    </xf>
    <xf numFmtId="191" fontId="18" fillId="36" borderId="26" xfId="0" applyNumberFormat="1" applyFont="1" applyFill="1" applyBorder="1" applyAlignment="1" applyProtection="1">
      <alignment horizontal="center" vertical="center"/>
      <protection locked="0"/>
    </xf>
    <xf numFmtId="20" fontId="18" fillId="0" borderId="25" xfId="0" applyNumberFormat="1" applyFont="1" applyFill="1" applyBorder="1" applyAlignment="1" applyProtection="1">
      <alignment horizontal="center" vertical="center"/>
      <protection/>
    </xf>
    <xf numFmtId="20" fontId="18" fillId="36" borderId="19" xfId="0" applyNumberFormat="1" applyFont="1" applyFill="1" applyBorder="1" applyAlignment="1" applyProtection="1">
      <alignment horizontal="center" vertical="center"/>
      <protection/>
    </xf>
    <xf numFmtId="20" fontId="18" fillId="36" borderId="21" xfId="0" applyNumberFormat="1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vertical="center"/>
      <protection/>
    </xf>
    <xf numFmtId="0" fontId="14" fillId="35" borderId="0" xfId="0" applyFont="1" applyFill="1" applyBorder="1" applyAlignment="1" applyProtection="1">
      <alignment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20" fontId="1" fillId="0" borderId="40" xfId="0" applyNumberFormat="1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right"/>
      <protection/>
    </xf>
    <xf numFmtId="191" fontId="1" fillId="0" borderId="42" xfId="0" applyNumberFormat="1" applyFont="1" applyFill="1" applyBorder="1" applyAlignment="1" applyProtection="1">
      <alignment horizontal="center" vertical="center"/>
      <protection/>
    </xf>
    <xf numFmtId="20" fontId="1" fillId="0" borderId="43" xfId="0" applyNumberFormat="1" applyFont="1" applyFill="1" applyBorder="1" applyAlignment="1" applyProtection="1">
      <alignment horizontal="center" vertical="center"/>
      <protection/>
    </xf>
    <xf numFmtId="0" fontId="1" fillId="0" borderId="42" xfId="0" applyFont="1" applyFill="1" applyBorder="1" applyAlignment="1" applyProtection="1">
      <alignment horizontal="right"/>
      <protection/>
    </xf>
    <xf numFmtId="0" fontId="0" fillId="0" borderId="43" xfId="0" applyBorder="1" applyAlignment="1" applyProtection="1">
      <alignment horizontal="right"/>
      <protection/>
    </xf>
    <xf numFmtId="0" fontId="0" fillId="0" borderId="23" xfId="0" applyBorder="1" applyAlignment="1" applyProtection="1">
      <alignment horizontal="right"/>
      <protection/>
    </xf>
    <xf numFmtId="202" fontId="1" fillId="0" borderId="22" xfId="0" applyNumberFormat="1" applyFont="1" applyFill="1" applyBorder="1" applyAlignment="1" applyProtection="1">
      <alignment horizontal="center"/>
      <protection/>
    </xf>
    <xf numFmtId="202" fontId="1" fillId="0" borderId="43" xfId="0" applyNumberFormat="1" applyFont="1" applyFill="1" applyBorder="1" applyAlignment="1" applyProtection="1">
      <alignment horizontal="center"/>
      <protection/>
    </xf>
    <xf numFmtId="202" fontId="1" fillId="0" borderId="23" xfId="0" applyNumberFormat="1" applyFont="1" applyFill="1" applyBorder="1" applyAlignment="1" applyProtection="1">
      <alignment horizontal="center"/>
      <protection/>
    </xf>
    <xf numFmtId="169" fontId="1" fillId="0" borderId="43" xfId="0" applyNumberFormat="1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0" fontId="1" fillId="0" borderId="44" xfId="0" applyFont="1" applyFill="1" applyBorder="1" applyAlignment="1" applyProtection="1">
      <alignment horizontal="center" vertical="center" wrapText="1"/>
      <protection/>
    </xf>
    <xf numFmtId="0" fontId="0" fillId="0" borderId="45" xfId="0" applyBorder="1" applyAlignment="1" applyProtection="1">
      <alignment horizontal="right"/>
      <protection/>
    </xf>
    <xf numFmtId="0" fontId="0" fillId="0" borderId="46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1" fillId="0" borderId="4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46" xfId="0" applyFont="1" applyFill="1" applyBorder="1" applyAlignment="1" applyProtection="1">
      <alignment horizontal="right"/>
      <protection/>
    </xf>
    <xf numFmtId="0" fontId="1" fillId="0" borderId="50" xfId="0" applyFont="1" applyFill="1" applyBorder="1" applyAlignment="1" applyProtection="1">
      <alignment/>
      <protection/>
    </xf>
    <xf numFmtId="0" fontId="0" fillId="0" borderId="51" xfId="0" applyBorder="1" applyAlignment="1" applyProtection="1">
      <alignment/>
      <protection/>
    </xf>
    <xf numFmtId="0" fontId="0" fillId="0" borderId="52" xfId="0" applyBorder="1" applyAlignment="1" applyProtection="1">
      <alignment/>
      <protection/>
    </xf>
    <xf numFmtId="0" fontId="0" fillId="0" borderId="51" xfId="0" applyBorder="1" applyAlignment="1" applyProtection="1">
      <alignment horizontal="right"/>
      <protection/>
    </xf>
    <xf numFmtId="0" fontId="1" fillId="0" borderId="53" xfId="0" applyFont="1" applyFill="1" applyBorder="1" applyAlignment="1" applyProtection="1">
      <alignment horizontal="right"/>
      <protection/>
    </xf>
    <xf numFmtId="0" fontId="1" fillId="0" borderId="23" xfId="0" applyFont="1" applyFill="1" applyBorder="1" applyAlignment="1" applyProtection="1">
      <alignment/>
      <protection/>
    </xf>
    <xf numFmtId="0" fontId="1" fillId="0" borderId="54" xfId="0" applyFont="1" applyFill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0" fillId="0" borderId="32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/>
    </xf>
    <xf numFmtId="187" fontId="18" fillId="0" borderId="36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center"/>
    </xf>
    <xf numFmtId="0" fontId="8" fillId="0" borderId="0" xfId="0" applyFont="1" applyFill="1" applyAlignment="1" applyProtection="1">
      <alignment horizontal="left"/>
      <protection/>
    </xf>
    <xf numFmtId="0" fontId="0" fillId="0" borderId="0" xfId="0" applyFill="1" applyAlignment="1" applyProtection="1">
      <alignment horizontal="center"/>
      <protection/>
    </xf>
    <xf numFmtId="0" fontId="0" fillId="0" borderId="40" xfId="0" applyFill="1" applyBorder="1" applyAlignment="1" applyProtection="1">
      <alignment/>
      <protection/>
    </xf>
    <xf numFmtId="0" fontId="0" fillId="0" borderId="35" xfId="0" applyFill="1" applyBorder="1" applyAlignment="1" applyProtection="1">
      <alignment/>
      <protection/>
    </xf>
    <xf numFmtId="0" fontId="0" fillId="0" borderId="55" xfId="0" applyFill="1" applyBorder="1" applyAlignment="1" applyProtection="1">
      <alignment horizontal="right"/>
      <protection/>
    </xf>
    <xf numFmtId="0" fontId="0" fillId="0" borderId="44" xfId="0" applyFill="1" applyBorder="1" applyAlignment="1" applyProtection="1">
      <alignment horizontal="right"/>
      <protection/>
    </xf>
    <xf numFmtId="0" fontId="18" fillId="0" borderId="36" xfId="0" applyFont="1" applyFill="1" applyBorder="1" applyAlignment="1" applyProtection="1">
      <alignment horizontal="center" vertical="center"/>
      <protection locked="0"/>
    </xf>
    <xf numFmtId="0" fontId="18" fillId="0" borderId="25" xfId="0" applyFont="1" applyFill="1" applyBorder="1" applyAlignment="1" applyProtection="1">
      <alignment horizontal="center" vertical="center"/>
      <protection locked="0"/>
    </xf>
    <xf numFmtId="0" fontId="18" fillId="0" borderId="20" xfId="0" applyFont="1" applyFill="1" applyBorder="1" applyAlignment="1" applyProtection="1">
      <alignment horizontal="center" vertical="center"/>
      <protection locked="0"/>
    </xf>
    <xf numFmtId="0" fontId="54" fillId="35" borderId="0" xfId="0" applyFont="1" applyFill="1" applyBorder="1" applyAlignment="1" applyProtection="1">
      <alignment horizontal="left"/>
      <protection/>
    </xf>
    <xf numFmtId="0" fontId="0" fillId="36" borderId="56" xfId="0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18" fillId="0" borderId="19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7" fillId="36" borderId="41" xfId="48" applyFont="1" applyFill="1" applyBorder="1" applyAlignment="1" applyProtection="1">
      <alignment vertical="center"/>
      <protection locked="0"/>
    </xf>
    <xf numFmtId="0" fontId="0" fillId="36" borderId="41" xfId="0" applyFont="1" applyFill="1" applyBorder="1" applyAlignment="1" applyProtection="1">
      <alignment vertical="center"/>
      <protection locked="0"/>
    </xf>
    <xf numFmtId="0" fontId="0" fillId="36" borderId="47" xfId="0" applyFont="1" applyFill="1" applyBorder="1" applyAlignment="1" applyProtection="1">
      <alignment vertical="center"/>
      <protection locked="0"/>
    </xf>
    <xf numFmtId="0" fontId="14" fillId="35" borderId="0" xfId="0" applyFont="1" applyFill="1" applyBorder="1" applyAlignment="1" applyProtection="1">
      <alignment/>
      <protection/>
    </xf>
    <xf numFmtId="0" fontId="0" fillId="35" borderId="0" xfId="0" applyFill="1" applyBorder="1" applyAlignment="1" applyProtection="1">
      <alignment/>
      <protection/>
    </xf>
    <xf numFmtId="0" fontId="11" fillId="35" borderId="0" xfId="0" applyFont="1" applyFill="1" applyBorder="1" applyAlignment="1" applyProtection="1">
      <alignment horizontal="left" vertical="center" wrapText="1"/>
      <protection/>
    </xf>
    <xf numFmtId="0" fontId="11" fillId="35" borderId="47" xfId="0" applyFont="1" applyFill="1" applyBorder="1" applyAlignment="1" applyProtection="1">
      <alignment horizontal="left" vertical="center" wrapText="1"/>
      <protection/>
    </xf>
    <xf numFmtId="0" fontId="0" fillId="36" borderId="41" xfId="0" applyFont="1" applyFill="1" applyBorder="1" applyAlignment="1" applyProtection="1">
      <alignment horizontal="center"/>
      <protection locked="0"/>
    </xf>
    <xf numFmtId="0" fontId="14" fillId="35" borderId="0" xfId="0" applyFont="1" applyFill="1" applyBorder="1" applyAlignment="1" applyProtection="1">
      <alignment horizontal="center" vertical="center"/>
      <protection/>
    </xf>
    <xf numFmtId="0" fontId="2" fillId="36" borderId="47" xfId="0" applyFont="1" applyFill="1" applyBorder="1" applyAlignment="1" applyProtection="1">
      <alignment horizontal="left" vertical="center"/>
      <protection locked="0"/>
    </xf>
    <xf numFmtId="0" fontId="0" fillId="35" borderId="0" xfId="0" applyFill="1" applyBorder="1" applyAlignment="1" applyProtection="1">
      <alignment vertical="center"/>
      <protection/>
    </xf>
    <xf numFmtId="0" fontId="8" fillId="33" borderId="0" xfId="0" applyFont="1" applyFill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1" fillId="0" borderId="57" xfId="0" applyFont="1" applyFill="1" applyBorder="1" applyAlignment="1" applyProtection="1">
      <alignment horizontal="center" vertical="center" wrapText="1"/>
      <protection/>
    </xf>
    <xf numFmtId="0" fontId="1" fillId="0" borderId="43" xfId="0" applyFont="1" applyFill="1" applyBorder="1" applyAlignment="1" applyProtection="1">
      <alignment horizontal="center" vertical="center" wrapText="1"/>
      <protection/>
    </xf>
    <xf numFmtId="0" fontId="1" fillId="0" borderId="58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18" fillId="0" borderId="51" xfId="0" applyFont="1" applyFill="1" applyBorder="1" applyAlignment="1" applyProtection="1">
      <alignment horizontal="center" vertical="center"/>
      <protection locked="0"/>
    </xf>
    <xf numFmtId="0" fontId="18" fillId="0" borderId="59" xfId="0" applyFont="1" applyFill="1" applyBorder="1" applyAlignment="1" applyProtection="1">
      <alignment horizontal="center" vertical="center"/>
      <protection locked="0"/>
    </xf>
    <xf numFmtId="20" fontId="1" fillId="0" borderId="58" xfId="0" applyNumberFormat="1" applyFont="1" applyFill="1" applyBorder="1" applyAlignment="1" applyProtection="1">
      <alignment horizontal="center" vertical="center"/>
      <protection/>
    </xf>
    <xf numFmtId="20" fontId="1" fillId="0" borderId="40" xfId="0" applyNumberFormat="1" applyFont="1" applyFill="1" applyBorder="1" applyAlignment="1" applyProtection="1">
      <alignment horizontal="center" vertical="center"/>
      <protection/>
    </xf>
    <xf numFmtId="20" fontId="1" fillId="0" borderId="55" xfId="0" applyNumberFormat="1" applyFont="1" applyFill="1" applyBorder="1" applyAlignment="1" applyProtection="1">
      <alignment horizontal="center" vertical="center"/>
      <protection/>
    </xf>
    <xf numFmtId="0" fontId="14" fillId="33" borderId="0" xfId="0" applyFont="1" applyFill="1" applyAlignment="1" applyProtection="1">
      <alignment horizontal="left" wrapText="1"/>
      <protection/>
    </xf>
    <xf numFmtId="0" fontId="1" fillId="0" borderId="60" xfId="0" applyFont="1" applyFill="1" applyBorder="1" applyAlignment="1" applyProtection="1">
      <alignment horizontal="center"/>
      <protection/>
    </xf>
    <xf numFmtId="0" fontId="1" fillId="0" borderId="61" xfId="0" applyFont="1" applyFill="1" applyBorder="1" applyAlignment="1" applyProtection="1">
      <alignment horizontal="center"/>
      <protection/>
    </xf>
    <xf numFmtId="191" fontId="1" fillId="0" borderId="62" xfId="0" applyNumberFormat="1" applyFont="1" applyFill="1" applyBorder="1" applyAlignment="1" applyProtection="1">
      <alignment horizontal="center" vertical="center"/>
      <protection/>
    </xf>
    <xf numFmtId="191" fontId="1" fillId="0" borderId="42" xfId="0" applyNumberFormat="1" applyFont="1" applyFill="1" applyBorder="1" applyAlignment="1" applyProtection="1">
      <alignment horizontal="center" vertical="center"/>
      <protection/>
    </xf>
    <xf numFmtId="191" fontId="1" fillId="0" borderId="63" xfId="0" applyNumberFormat="1" applyFont="1" applyFill="1" applyBorder="1" applyAlignment="1" applyProtection="1">
      <alignment horizontal="center" vertical="center"/>
      <protection/>
    </xf>
    <xf numFmtId="20" fontId="1" fillId="0" borderId="57" xfId="0" applyNumberFormat="1" applyFont="1" applyFill="1" applyBorder="1" applyAlignment="1" applyProtection="1">
      <alignment horizontal="center" vertical="center"/>
      <protection/>
    </xf>
    <xf numFmtId="20" fontId="1" fillId="0" borderId="43" xfId="0" applyNumberFormat="1" applyFont="1" applyFill="1" applyBorder="1" applyAlignment="1" applyProtection="1">
      <alignment horizontal="center" vertical="center"/>
      <protection/>
    </xf>
    <xf numFmtId="20" fontId="1" fillId="0" borderId="4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dxfs count="1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BCC800"/>
      <rgbColor rgb="00FFFF00"/>
      <rgbColor rgb="00FF00FF"/>
      <rgbColor rgb="0000FFFF"/>
      <rgbColor rgb="00CCCCCC"/>
      <rgbColor rgb="00666666"/>
      <rgbColor rgb="00003399"/>
      <rgbColor rgb="00E80024"/>
      <rgbColor rgb="00800080"/>
      <rgbColor rgb="0090DFAB"/>
      <rgbColor rgb="00C0C0C0"/>
      <rgbColor rgb="00808080"/>
      <rgbColor rgb="00AAA999"/>
      <rgbColor rgb="008899BB"/>
      <rgbColor rgb="00C3CCDD"/>
      <rgbColor rgb="00CCDDEE"/>
      <rgbColor rgb="00EEEEDD"/>
      <rgbColor rgb="00000066"/>
      <rgbColor rgb="00003399"/>
      <rgbColor rgb="00666666"/>
      <rgbColor rgb="00CCCCCC"/>
      <rgbColor rgb="00FBBF00"/>
      <rgbColor rgb="00E80024"/>
      <rgbColor rgb="0090DFAB"/>
      <rgbColor rgb="00BCC800"/>
      <rgbColor rgb="00C793BE"/>
      <rgbColor rgb="00000000"/>
      <rgbColor rgb="00FFFF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BBF00"/>
      <rgbColor rgb="00C793BE"/>
      <rgbColor rgb="00969696"/>
      <rgbColor rgb="00000066"/>
      <rgbColor rgb="00339966"/>
      <rgbColor rgb="00EEEEDD"/>
      <rgbColor rgb="00AAA999"/>
      <rgbColor rgb="008899BB"/>
      <rgbColor rgb="00993366"/>
      <rgbColor rgb="00C3CCDD"/>
      <rgbColor rgb="00CCDDE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552450</xdr:colOff>
      <xdr:row>11</xdr:row>
      <xdr:rowOff>76200</xdr:rowOff>
    </xdr:from>
    <xdr:ext cx="95250" cy="209550"/>
    <xdr:sp fLocksText="0">
      <xdr:nvSpPr>
        <xdr:cNvPr id="1" name="Text Box 6"/>
        <xdr:cNvSpPr txBox="1">
          <a:spLocks noChangeArrowheads="1"/>
        </xdr:cNvSpPr>
      </xdr:nvSpPr>
      <xdr:spPr>
        <a:xfrm>
          <a:off x="9467850" y="198120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38100</xdr:colOff>
      <xdr:row>8</xdr:row>
      <xdr:rowOff>171450</xdr:rowOff>
    </xdr:from>
    <xdr:ext cx="1790700" cy="962025"/>
    <xdr:sp>
      <xdr:nvSpPr>
        <xdr:cNvPr id="2" name="Text Box 7"/>
        <xdr:cNvSpPr txBox="1">
          <a:spLocks noChangeArrowheads="1"/>
        </xdr:cNvSpPr>
      </xdr:nvSpPr>
      <xdr:spPr>
        <a:xfrm>
          <a:off x="3171825" y="1552575"/>
          <a:ext cx="1790700" cy="962025"/>
        </a:xfrm>
        <a:prstGeom prst="rect">
          <a:avLst/>
        </a:prstGeom>
        <a:noFill/>
        <a:ln w="1905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Anmeldeadresse: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Marco Dalle Case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Bergstr. 1b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9100 Herisau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071 352 91 00
</a:t>
          </a:r>
          <a:r>
            <a:rPr lang="en-US" cap="none" sz="1000" b="0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asv_herisau@bluewin.ch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2:L37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12.7109375" style="24" bestFit="1" customWidth="1"/>
    <col min="2" max="2" width="25.140625" style="24" bestFit="1" customWidth="1"/>
    <col min="3" max="3" width="11.57421875" style="24" bestFit="1" customWidth="1"/>
    <col min="4" max="7" width="11.28125" style="25" customWidth="1"/>
    <col min="8" max="8" width="5.57421875" style="25" bestFit="1" customWidth="1"/>
    <col min="9" max="9" width="5.57421875" style="24" bestFit="1" customWidth="1"/>
    <col min="10" max="10" width="9.421875" style="24" bestFit="1" customWidth="1"/>
    <col min="11" max="12" width="38.7109375" style="24" bestFit="1" customWidth="1"/>
    <col min="13" max="16384" width="11.421875" style="24" customWidth="1"/>
  </cols>
  <sheetData>
    <row r="2" spans="1:2" ht="12.75">
      <c r="A2" s="23" t="s">
        <v>43</v>
      </c>
      <c r="B2" s="72" t="s">
        <v>79</v>
      </c>
    </row>
    <row r="3" spans="1:2" ht="12.75">
      <c r="A3" s="23" t="s">
        <v>44</v>
      </c>
      <c r="B3" s="23" t="s">
        <v>56</v>
      </c>
    </row>
    <row r="4" spans="1:2" ht="12.75">
      <c r="A4" s="23" t="s">
        <v>0</v>
      </c>
      <c r="B4" s="23" t="s">
        <v>57</v>
      </c>
    </row>
    <row r="5" spans="1:2" ht="12.75">
      <c r="A5" s="23"/>
      <c r="B5" s="23"/>
    </row>
    <row r="6" spans="1:10" ht="12.75">
      <c r="A6" s="23" t="s">
        <v>45</v>
      </c>
      <c r="B6" s="26"/>
      <c r="C6" s="23" t="s">
        <v>4</v>
      </c>
      <c r="D6" s="170" t="s">
        <v>46</v>
      </c>
      <c r="E6" s="170"/>
      <c r="F6" s="170" t="s">
        <v>47</v>
      </c>
      <c r="G6" s="170"/>
      <c r="H6" s="24"/>
      <c r="J6" s="23" t="s">
        <v>53</v>
      </c>
    </row>
    <row r="7" spans="3:8" ht="12.75">
      <c r="C7" s="23"/>
      <c r="D7" s="27" t="s">
        <v>23</v>
      </c>
      <c r="E7" s="27" t="s">
        <v>24</v>
      </c>
      <c r="F7" s="27" t="s">
        <v>23</v>
      </c>
      <c r="G7" s="27" t="s">
        <v>24</v>
      </c>
      <c r="H7" s="24"/>
    </row>
    <row r="8" spans="2:11" ht="12.75">
      <c r="B8" s="23" t="s">
        <v>59</v>
      </c>
      <c r="C8" s="28">
        <v>42902</v>
      </c>
      <c r="D8" s="29"/>
      <c r="E8" s="29"/>
      <c r="F8" s="30">
        <v>0.7083333333333334</v>
      </c>
      <c r="G8" s="30">
        <v>0.875</v>
      </c>
      <c r="H8" s="24"/>
      <c r="J8" s="21" t="str">
        <f>Konfig!B8</f>
        <v>1. Tag</v>
      </c>
      <c r="K8" s="22" t="str">
        <f>IF(Tag1="","",IF(Tag1Vorm_von="",CONCATENATE(TEXT(Tag1,"TTT. TT.MM.JJ")," ",TEXT(Tag1Nachm_von,"hh:mm")," - ",TEXT(Tag1Nachm_bis,"hh:mm")),IF(Tag1Nachm_von="",CONCATENATE(TEXT(Tag1,"TTT. TT.MM.JJ")," ",TEXT(Tag1Vorm_von,"hh:mm")," - ",TEXT(Tag1Vorm_bis,"hh:mm")),CONCATENATE(TEXT(Tag1,"TTT. TT.MM.JJ")," ",TEXT(Tag1Vorm_von,"hh:mm")," - ",TEXT(Tag1Vorm_bis,"hh:mm")," und ",TEXT(Tag1Nachm_von,"hh:mm")," - ",TEXT(Tag1Nachm_bis,"hh:mm")))))</f>
        <v>Fr. 16.06.17 17:00 - 21:00</v>
      </c>
    </row>
    <row r="9" spans="2:11" ht="12.75">
      <c r="B9" s="23" t="s">
        <v>60</v>
      </c>
      <c r="C9" s="28">
        <v>42903</v>
      </c>
      <c r="D9" s="30">
        <v>0.3333333333333333</v>
      </c>
      <c r="E9" s="30">
        <v>0.5</v>
      </c>
      <c r="F9" s="30">
        <v>0.5625</v>
      </c>
      <c r="G9" s="30">
        <v>0.8333333333333334</v>
      </c>
      <c r="H9" s="24"/>
      <c r="J9" s="21" t="str">
        <f>Konfig!B9</f>
        <v>2. Tag</v>
      </c>
      <c r="K9" s="22" t="str">
        <f>IF(Tag2="","",IF(Tag2Vorm_von="",CONCATENATE(TEXT(Tag2,"TTT. TT.MM.JJ")," ",TEXT(Tag2Nachm_von,"hh:mm")," - ",TEXT(Tag2Nachm_bis,"hh:mm")),IF(Tag2Nachm_von="",CONCATENATE(TEXT(Tag2,"TTT. TT.MM.JJ")," ",TEXT(Tag2Vorm_von,"hh:mm")," - ",TEXT(Tag2Vorm_bis,"hh:mm")),CONCATENATE(TEXT(Tag2,"TTT. TT.MM.JJ")," ",TEXT(Tag2Vorm_von,"hh:mm")," - ",TEXT(Tag2Vorm_bis,"hh:mm")," und ",TEXT(Tag2Nachm_von,"hh:mm")," - ",TEXT(Tag2Nachm_bis,"hh:mm")))))</f>
        <v>Sa. 17.06.17 08:00 - 12:00 und 13:30 - 20:00</v>
      </c>
    </row>
    <row r="10" spans="2:11" ht="12.75">
      <c r="B10" s="23" t="s">
        <v>61</v>
      </c>
      <c r="C10" s="28">
        <v>42904</v>
      </c>
      <c r="D10" s="30">
        <v>0.3333333333333333</v>
      </c>
      <c r="E10" s="30">
        <v>0.5833333333333334</v>
      </c>
      <c r="F10" s="30"/>
      <c r="G10" s="30"/>
      <c r="H10" s="24"/>
      <c r="J10" s="21" t="str">
        <f>Konfig!B10</f>
        <v>3. Tag</v>
      </c>
      <c r="K10" s="22" t="str">
        <f>IF(Tag3="","",IF(Tag3Vorm_von="",CONCATENATE(TEXT(Tag3,"TTT. TT.MM.JJ")," ",TEXT(Tag3Nachm_von,"hh:mm")," - ",TEXT(Tag3Nachm_bis,"hh:mm")),IF(Tag3Nachm_von="",CONCATENATE(TEXT(Tag3,"TTT. TT.MM.JJ")," ",TEXT(Tag3Vorm_von,"hh:mm")," - ",TEXT(Tag3Vorm_bis,"hh:mm")),CONCATENATE(TEXT(Tag3,"TTT. TT.MM.JJ")," ",TEXT(Tag3Vorm_von,"hh:mm")," - ",TEXT(Tag3Vorm_bis,"hh:mm")," und ",TEXT(Tag3Nachm_von,"hh:mm")," - ",TEXT(Tag3Nachm_bis,"hh:mm")))))</f>
        <v>So. 18.06.17 08:00 - 14:00</v>
      </c>
    </row>
    <row r="11" spans="2:11" ht="12.75">
      <c r="B11" s="23" t="s">
        <v>62</v>
      </c>
      <c r="C11" s="28">
        <v>42909</v>
      </c>
      <c r="D11" s="29"/>
      <c r="E11" s="29"/>
      <c r="F11" s="30">
        <v>0.7083333333333334</v>
      </c>
      <c r="G11" s="30">
        <v>0.875</v>
      </c>
      <c r="H11" s="24"/>
      <c r="J11" s="21" t="str">
        <f>Konfig!B11</f>
        <v>4. Tag</v>
      </c>
      <c r="K11" s="22" t="str">
        <f>IF(Tag4="","",IF(Tag4Vorm_von="",CONCATENATE(TEXT(Tag4,"TTT. TT.MM.JJ")," ",TEXT(Tag4Nachm_von,"hh:mm")," - ",TEXT(Tag4Nachm_bis,"hh:mm")),IF(Tag4Nachm_von="",CONCATENATE(TEXT(Tag4,"TTT. TT.MM.JJ")," ",TEXT(Tag4Vorm_von,"hh:mm")," - ",TEXT(Tag4Vorm_bis,"hh:mm")),CONCATENATE(TEXT(Tag4,"TTT. TT.MM.JJ")," ",TEXT(Tag4Vorm_von,"hh:mm")," - ",TEXT(Tag4Vorm_bis,"hh:mm")," und ",TEXT(Tag4Nachm_von,"hh:mm")," - ",TEXT(Tag4Nachm_bis,"hh:mm")))))</f>
        <v>Fr. 23.06.17 17:00 - 21:00</v>
      </c>
    </row>
    <row r="12" spans="2:11" ht="12.75">
      <c r="B12" s="23" t="s">
        <v>58</v>
      </c>
      <c r="C12" s="28">
        <v>42910</v>
      </c>
      <c r="D12" s="30">
        <v>0.3333333333333333</v>
      </c>
      <c r="E12" s="30">
        <v>0.5</v>
      </c>
      <c r="F12" s="30">
        <v>0.5625</v>
      </c>
      <c r="G12" s="30">
        <v>0.8333333333333334</v>
      </c>
      <c r="H12" s="24"/>
      <c r="J12" s="21" t="str">
        <f>Konfig!B12</f>
        <v>5. Tag</v>
      </c>
      <c r="K12" s="22" t="str">
        <f>IF(Tag5="","",IF(Tag5Vorm_von="",CONCATENATE(TEXT(Tag5,"TTT. TT.MM.JJ")," ",TEXT(Tag5Nachm_von,"hh:mm")," - ",TEXT(Tag5Nachm_bis,"hh:mm")),IF(Tag5Nachm_von="",CONCATENATE(TEXT(Tag5,"TTT. TT.MM.JJ")," ",TEXT(Tag5Vorm_von,"hh:mm")," - ",TEXT(Tag5Vorm_bis,"hh:mm")),CONCATENATE(TEXT(Tag5,"TTT. TT.MM.JJ")," ",TEXT(Tag5Vorm_von,"hh:mm")," - ",TEXT(Tag5Vorm_bis,"hh:mm")," und ",TEXT(Tag5Nachm_von,"hh:mm")," - ",TEXT(Tag5Nachm_bis,"hh:mm")))))</f>
        <v>Sa. 24.06.17 08:00 - 12:00 und 13:30 - 20:00</v>
      </c>
    </row>
    <row r="13" spans="2:12" ht="12.75">
      <c r="B13" s="23" t="s">
        <v>77</v>
      </c>
      <c r="C13" s="28">
        <v>42911</v>
      </c>
      <c r="D13" s="30">
        <v>0.3333333333333333</v>
      </c>
      <c r="E13" s="30">
        <v>0.5</v>
      </c>
      <c r="F13" s="30" t="s">
        <v>78</v>
      </c>
      <c r="G13" s="30" t="s">
        <v>55</v>
      </c>
      <c r="H13" s="24"/>
      <c r="J13" s="21" t="str">
        <f>Konfig!B13</f>
        <v>6. Tag</v>
      </c>
      <c r="K13" s="22" t="str">
        <f>IF(Tag6="","",IF(Tag6Vorm_von="",CONCATENATE(TEXT(Tag6,"TTT. TT.MM.JJ")," ",TEXT(Tag6Nachm_von,"hh:mm")," - ",TEXT(Tag6Nachm_bis,"hh:mm")),IF(Tag6Nachm_von="",CONCATENATE(TEXT(Tag6,"TTT. TT.MM.JJ")," ",TEXT(Tag6Vorm_von,"hh:mm")," - ",TEXT(Tag6Vorm_bis,"hh:mm")),CONCATENATE(TEXT(Tag6,"TTT. TT.MM.JJ")," ",TEXT(Tag6Vorm_von,"hh:mm")," - ",TEXT(Tag6Vorm_bis,"hh:mm")," und ",TEXT(Tag6Nachm_von,"hh:mm")," - ",TEXT(Tag6Nachm_bis,"hh:mm")))))</f>
        <v>So. 25.06.17 08:00 - 12:00 und (Reserve) -  </v>
      </c>
      <c r="L13" s="22"/>
    </row>
    <row r="15" spans="1:6" ht="12.75">
      <c r="A15" s="23" t="s">
        <v>48</v>
      </c>
      <c r="D15" s="27" t="s">
        <v>49</v>
      </c>
      <c r="E15" s="27" t="s">
        <v>31</v>
      </c>
      <c r="F15" s="27" t="s">
        <v>52</v>
      </c>
    </row>
    <row r="16" spans="1:6" ht="12.75">
      <c r="A16" s="23">
        <v>1</v>
      </c>
      <c r="B16" s="23" t="s">
        <v>50</v>
      </c>
      <c r="C16" s="72" t="s">
        <v>73</v>
      </c>
      <c r="D16" s="74">
        <v>8</v>
      </c>
      <c r="E16" s="74">
        <v>0</v>
      </c>
      <c r="F16" s="76" t="s">
        <v>55</v>
      </c>
    </row>
    <row r="17" spans="1:6" ht="12.75">
      <c r="A17" s="24">
        <v>2</v>
      </c>
      <c r="B17" s="23" t="s">
        <v>51</v>
      </c>
      <c r="C17" s="23" t="s">
        <v>1</v>
      </c>
      <c r="D17" s="74">
        <v>3</v>
      </c>
      <c r="E17" s="74">
        <v>3</v>
      </c>
      <c r="F17" s="33">
        <v>6</v>
      </c>
    </row>
    <row r="18" spans="1:6" ht="12.75">
      <c r="A18" s="24">
        <v>3</v>
      </c>
      <c r="B18" s="23" t="s">
        <v>0</v>
      </c>
      <c r="C18" s="72" t="s">
        <v>0</v>
      </c>
      <c r="D18" s="74">
        <v>8</v>
      </c>
      <c r="E18" s="74">
        <v>4</v>
      </c>
      <c r="F18" s="33">
        <v>6</v>
      </c>
    </row>
    <row r="19" spans="1:6" ht="12.75">
      <c r="A19" s="24">
        <v>4</v>
      </c>
      <c r="B19" s="23" t="s">
        <v>63</v>
      </c>
      <c r="C19" s="72" t="s">
        <v>63</v>
      </c>
      <c r="D19" s="74">
        <v>8</v>
      </c>
      <c r="E19" s="74">
        <v>4</v>
      </c>
      <c r="F19" s="33">
        <v>6</v>
      </c>
    </row>
    <row r="20" spans="1:6" ht="12.75">
      <c r="A20" s="24">
        <v>5</v>
      </c>
      <c r="B20" s="73" t="s">
        <v>70</v>
      </c>
      <c r="C20" s="73" t="s">
        <v>71</v>
      </c>
      <c r="D20" s="74">
        <v>8</v>
      </c>
      <c r="E20" s="74">
        <v>4</v>
      </c>
      <c r="F20" s="33">
        <v>10</v>
      </c>
    </row>
    <row r="21" spans="1:6" ht="12.75">
      <c r="A21" s="24">
        <v>6</v>
      </c>
      <c r="B21" s="73" t="s">
        <v>2</v>
      </c>
      <c r="C21" s="73" t="s">
        <v>2</v>
      </c>
      <c r="D21" s="74">
        <v>8</v>
      </c>
      <c r="E21" s="74">
        <v>4</v>
      </c>
      <c r="F21" s="33">
        <v>6</v>
      </c>
    </row>
    <row r="22" spans="1:6" ht="12.75">
      <c r="A22" s="24">
        <v>7</v>
      </c>
      <c r="B22" s="73" t="s">
        <v>3</v>
      </c>
      <c r="C22" s="73" t="s">
        <v>3</v>
      </c>
      <c r="D22" s="74">
        <v>6</v>
      </c>
      <c r="E22" s="74">
        <v>3</v>
      </c>
      <c r="F22" s="33">
        <v>6</v>
      </c>
    </row>
    <row r="23" spans="1:6" ht="12.75">
      <c r="A23" s="24">
        <v>8</v>
      </c>
      <c r="B23" s="73" t="s">
        <v>81</v>
      </c>
      <c r="C23" s="73" t="s">
        <v>82</v>
      </c>
      <c r="D23" s="74">
        <v>2.5</v>
      </c>
      <c r="E23" s="74">
        <v>2.5</v>
      </c>
      <c r="F23" s="33">
        <v>2</v>
      </c>
    </row>
    <row r="24" spans="1:6" ht="12.75">
      <c r="A24" s="24">
        <v>9</v>
      </c>
      <c r="B24" s="73" t="s">
        <v>72</v>
      </c>
      <c r="C24" s="73" t="s">
        <v>72</v>
      </c>
      <c r="D24" s="74">
        <v>15</v>
      </c>
      <c r="E24" s="74">
        <v>15</v>
      </c>
      <c r="F24" s="33">
        <v>6</v>
      </c>
    </row>
    <row r="25" spans="1:6" ht="12.75">
      <c r="A25" s="24">
        <v>10</v>
      </c>
      <c r="B25" s="73" t="s">
        <v>69</v>
      </c>
      <c r="C25" s="73" t="s">
        <v>69</v>
      </c>
      <c r="D25" s="74">
        <v>8</v>
      </c>
      <c r="E25" s="74">
        <v>8</v>
      </c>
      <c r="F25" s="33">
        <v>6</v>
      </c>
    </row>
    <row r="26" spans="1:6" ht="12.75">
      <c r="A26" s="24">
        <v>11</v>
      </c>
      <c r="B26" s="73" t="s">
        <v>55</v>
      </c>
      <c r="C26" s="73" t="s">
        <v>55</v>
      </c>
      <c r="D26" s="75" t="s">
        <v>55</v>
      </c>
      <c r="E26" s="75" t="s">
        <v>55</v>
      </c>
      <c r="F26" s="76" t="s">
        <v>55</v>
      </c>
    </row>
    <row r="27" spans="1:6" ht="12.75">
      <c r="A27" s="24">
        <v>12</v>
      </c>
      <c r="B27" s="73" t="s">
        <v>55</v>
      </c>
      <c r="C27" s="73" t="s">
        <v>55</v>
      </c>
      <c r="D27" s="75" t="s">
        <v>55</v>
      </c>
      <c r="E27" s="75" t="s">
        <v>55</v>
      </c>
      <c r="F27" s="76" t="s">
        <v>55</v>
      </c>
    </row>
    <row r="28" spans="2:6" ht="12.75">
      <c r="B28" s="23"/>
      <c r="C28" s="23"/>
      <c r="D28" s="31"/>
      <c r="E28" s="32"/>
      <c r="F28" s="32"/>
    </row>
    <row r="29" spans="2:8" s="17" customFormat="1" ht="12.75">
      <c r="B29" s="34"/>
      <c r="C29" s="35"/>
      <c r="D29" s="171" t="s">
        <v>40</v>
      </c>
      <c r="E29" s="171"/>
      <c r="F29" s="172" t="s">
        <v>39</v>
      </c>
      <c r="G29" s="172"/>
      <c r="H29" s="37"/>
    </row>
    <row r="30" spans="2:8" s="17" customFormat="1" ht="12.75">
      <c r="B30" s="34" t="str">
        <f ca="1">CONCATENATE("Kategorien für das Jahr ",YEAR(TODAY()))</f>
        <v>Kategorien für das Jahr 2017</v>
      </c>
      <c r="C30" s="36"/>
      <c r="D30" s="36" t="s">
        <v>38</v>
      </c>
      <c r="E30" s="36" t="s">
        <v>24</v>
      </c>
      <c r="F30" s="36" t="s">
        <v>38</v>
      </c>
      <c r="G30" s="36" t="s">
        <v>24</v>
      </c>
      <c r="H30" s="37"/>
    </row>
    <row r="31" spans="2:8" s="17" customFormat="1" ht="12.75">
      <c r="B31" s="34" t="s">
        <v>30</v>
      </c>
      <c r="C31" s="37" t="s">
        <v>29</v>
      </c>
      <c r="D31" s="37">
        <f aca="true" ca="1" t="shared" si="0" ref="D31:E36">YEAR(TODAY())-F31</f>
        <v>2009</v>
      </c>
      <c r="E31" s="37">
        <f ca="1" t="shared" si="0"/>
        <v>2001</v>
      </c>
      <c r="F31" s="38">
        <v>8</v>
      </c>
      <c r="G31" s="38">
        <v>16</v>
      </c>
      <c r="H31" s="37"/>
    </row>
    <row r="32" spans="2:8" s="17" customFormat="1" ht="12.75">
      <c r="B32" s="34" t="s">
        <v>31</v>
      </c>
      <c r="C32" s="37" t="s">
        <v>32</v>
      </c>
      <c r="D32" s="37">
        <f ca="1" t="shared" si="0"/>
        <v>2000</v>
      </c>
      <c r="E32" s="37">
        <f ca="1" t="shared" si="0"/>
        <v>1997</v>
      </c>
      <c r="F32" s="38">
        <v>17</v>
      </c>
      <c r="G32" s="38">
        <v>20</v>
      </c>
      <c r="H32" s="37"/>
    </row>
    <row r="33" spans="2:8" s="17" customFormat="1" ht="12.75">
      <c r="B33" s="34" t="s">
        <v>33</v>
      </c>
      <c r="C33" s="39" t="s">
        <v>55</v>
      </c>
      <c r="D33" s="37">
        <f ca="1" t="shared" si="0"/>
        <v>1996</v>
      </c>
      <c r="E33" s="37">
        <f ca="1" t="shared" si="0"/>
        <v>1963</v>
      </c>
      <c r="F33" s="38">
        <v>21</v>
      </c>
      <c r="G33" s="38">
        <v>54</v>
      </c>
      <c r="H33" s="37"/>
    </row>
    <row r="34" spans="2:8" s="17" customFormat="1" ht="12.75">
      <c r="B34" s="34" t="s">
        <v>34</v>
      </c>
      <c r="C34" s="155" t="s">
        <v>84</v>
      </c>
      <c r="D34" s="37">
        <f ca="1" t="shared" si="0"/>
        <v>1962</v>
      </c>
      <c r="E34" s="37">
        <f ca="1" t="shared" si="0"/>
        <v>1958</v>
      </c>
      <c r="F34" s="38">
        <v>55</v>
      </c>
      <c r="G34" s="38">
        <v>59</v>
      </c>
      <c r="H34" s="37"/>
    </row>
    <row r="35" spans="2:8" s="17" customFormat="1" ht="12.75">
      <c r="B35" s="34" t="s">
        <v>35</v>
      </c>
      <c r="C35" s="39" t="s">
        <v>9</v>
      </c>
      <c r="D35" s="37">
        <f ca="1" t="shared" si="0"/>
        <v>1957</v>
      </c>
      <c r="E35" s="37">
        <f ca="1" t="shared" si="0"/>
        <v>1948</v>
      </c>
      <c r="F35" s="38">
        <v>60</v>
      </c>
      <c r="G35" s="38">
        <v>69</v>
      </c>
      <c r="H35" s="37"/>
    </row>
    <row r="36" spans="2:8" s="17" customFormat="1" ht="12.75">
      <c r="B36" s="34" t="s">
        <v>36</v>
      </c>
      <c r="C36" s="37" t="s">
        <v>37</v>
      </c>
      <c r="D36" s="37">
        <f ca="1" t="shared" si="0"/>
        <v>1947</v>
      </c>
      <c r="E36" s="37">
        <f ca="1" t="shared" si="0"/>
        <v>1817</v>
      </c>
      <c r="F36" s="38">
        <v>70</v>
      </c>
      <c r="G36" s="38">
        <v>200</v>
      </c>
      <c r="H36" s="37"/>
    </row>
    <row r="37" spans="2:5" ht="12.75">
      <c r="B37" s="17"/>
      <c r="C37" s="17"/>
      <c r="D37" s="37"/>
      <c r="E37" s="37"/>
    </row>
  </sheetData>
  <sheetProtection/>
  <mergeCells count="4">
    <mergeCell ref="D6:E6"/>
    <mergeCell ref="F6:G6"/>
    <mergeCell ref="D29:E29"/>
    <mergeCell ref="F29:G29"/>
  </mergeCells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S51"/>
  <sheetViews>
    <sheetView tabSelected="1" zoomScaleSheetLayoutView="87" workbookViewId="0" topLeftCell="A1">
      <selection activeCell="B9" sqref="B9"/>
    </sheetView>
  </sheetViews>
  <sheetFormatPr defaultColWidth="11.421875" defaultRowHeight="12.75"/>
  <cols>
    <col min="1" max="1" width="18.57421875" style="7" customWidth="1"/>
    <col min="2" max="2" width="11.421875" style="7" customWidth="1"/>
    <col min="3" max="3" width="10.28125" style="7" customWidth="1"/>
    <col min="4" max="4" width="6.7109375" style="7" customWidth="1"/>
    <col min="5" max="5" width="11.421875" style="7" customWidth="1"/>
    <col min="6" max="6" width="6.421875" style="7" customWidth="1"/>
    <col min="7" max="7" width="33.8515625" style="7" customWidth="1"/>
    <col min="8" max="8" width="19.28125" style="7" bestFit="1" customWidth="1"/>
    <col min="9" max="11" width="15.7109375" style="7" customWidth="1"/>
    <col min="12" max="12" width="3.7109375" style="87" customWidth="1"/>
    <col min="13" max="13" width="16.421875" style="88" bestFit="1" customWidth="1"/>
    <col min="14" max="14" width="3.57421875" style="87" bestFit="1" customWidth="1"/>
    <col min="15" max="16" width="5.8515625" style="87" customWidth="1"/>
    <col min="17" max="18" width="5.8515625" style="7" customWidth="1"/>
    <col min="19" max="16384" width="11.421875" style="7" customWidth="1"/>
  </cols>
  <sheetData>
    <row r="1" spans="1:11" ht="20.25">
      <c r="A1" s="43" t="str">
        <f ca="1">CONCATENATE(Anlass," ",YEAR(TODAY())," in ",Ort)</f>
        <v>Biberschiessen des ASV Herisau-Waldstatt 2017 in Herisau</v>
      </c>
      <c r="B1" s="44"/>
      <c r="C1" s="44"/>
      <c r="D1" s="44"/>
      <c r="E1" s="44"/>
      <c r="F1" s="44"/>
      <c r="G1" s="44"/>
      <c r="H1" s="44"/>
      <c r="I1" s="44"/>
      <c r="J1" s="44"/>
      <c r="K1" s="45"/>
    </row>
    <row r="2" spans="1:11" ht="6" customHeight="1">
      <c r="A2" s="46"/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1" ht="20.25">
      <c r="A3" s="49" t="s">
        <v>5</v>
      </c>
      <c r="B3" s="47"/>
      <c r="C3" s="47"/>
      <c r="D3" s="47"/>
      <c r="E3" s="47"/>
      <c r="F3" s="47"/>
      <c r="G3" s="47"/>
      <c r="H3" s="47"/>
      <c r="I3" s="47"/>
      <c r="J3" s="47"/>
      <c r="K3" s="48"/>
    </row>
    <row r="4" spans="1:11" ht="6.75" customHeight="1">
      <c r="A4" s="50"/>
      <c r="B4" s="47"/>
      <c r="C4" s="47"/>
      <c r="D4" s="47"/>
      <c r="E4" s="47"/>
      <c r="F4" s="47"/>
      <c r="G4" s="47"/>
      <c r="H4" s="47"/>
      <c r="I4" s="47"/>
      <c r="J4" s="47"/>
      <c r="K4" s="48"/>
    </row>
    <row r="5" spans="1:12" ht="12.75">
      <c r="A5" s="50"/>
      <c r="B5" s="47"/>
      <c r="C5" s="47"/>
      <c r="D5" s="47"/>
      <c r="E5" s="47"/>
      <c r="F5" s="47"/>
      <c r="G5" s="47"/>
      <c r="H5" s="47"/>
      <c r="I5" s="47"/>
      <c r="J5" s="47"/>
      <c r="K5" s="48"/>
      <c r="L5" s="89"/>
    </row>
    <row r="6" spans="1:11" ht="14.25" customHeight="1">
      <c r="A6" s="51" t="s">
        <v>6</v>
      </c>
      <c r="B6" s="47"/>
      <c r="C6" s="47"/>
      <c r="D6" s="47"/>
      <c r="E6" s="47"/>
      <c r="F6" s="52"/>
      <c r="G6" s="47"/>
      <c r="H6" s="90" t="str">
        <f>Konfig!B8</f>
        <v>1. Tag</v>
      </c>
      <c r="I6" s="91" t="str">
        <f>IF(Tag1="","",IF(Tag1Vorm_von="",CONCATENATE(TEXT(Tag1,"TTTT TT.MM.")," ",TEXT(Tag1Nachm_von,"hh:mm")," - ",TEXT(Tag1Nachm_bis,"hh:mm")),IF(Tag1Nachm_von="",CONCATENATE(TEXT(Tag1,"TTTT TT.MM.")," ",TEXT(Tag1Vorm_von,"hh:mm")," - ",TEXT(Tag1Vorm_bis,"hh:mm")),CONCATENATE(TEXT(Tag1,"TTTT TT.MM.")," ",TEXT(Tag1Vorm_von,"hh:mm")," - ",TEXT(Tag1Vorm_bis,"hh:mm")," und ",TEXT(Tag1Nachm_von,"hh:mm")," - ",TEXT(Tag1Nachm_bis,"hh:mm")))))</f>
        <v>Freitag 16.06. 17:00 - 21:00</v>
      </c>
      <c r="J6" s="47"/>
      <c r="K6" s="48"/>
    </row>
    <row r="7" spans="1:11" ht="14.25" customHeight="1" thickBot="1">
      <c r="A7" s="50"/>
      <c r="B7" s="53"/>
      <c r="C7" s="53"/>
      <c r="D7" s="53"/>
      <c r="E7" s="53"/>
      <c r="F7" s="47"/>
      <c r="G7" s="47"/>
      <c r="H7" s="90" t="str">
        <f>Konfig!B9</f>
        <v>2. Tag</v>
      </c>
      <c r="I7" s="91" t="str">
        <f>IF(Tag2="","",IF(Tag2Vorm_von="",CONCATENATE(TEXT(Tag2,"TTTT TT.MM.")," ",TEXT(Tag2Nachm_von,"hh:mm")," - ",TEXT(Tag2Nachm_bis,"hh:mm")),IF(Tag2Nachm_von="",CONCATENATE(TEXT(Tag2,"TTTT TT.MM.")," ",TEXT(Tag2Vorm_von,"hh:mm")," - ",TEXT(Tag2Vorm_bis,"hh:mm")),CONCATENATE(TEXT(Tag2,"TTTT TT.MM.")," ",TEXT(Tag2Vorm_von,"hh:mm")," - ",TEXT(Tag2Vorm_bis,"hh:mm")," und ",TEXT(Tag2Nachm_von,"hh:mm")," - ",TEXT(Tag2Nachm_bis,"hh:mm")))))</f>
        <v>Samstag 17.06. 08:00 - 12:00 und 13:30 - 20:00</v>
      </c>
      <c r="J7" s="47"/>
      <c r="K7" s="48"/>
    </row>
    <row r="8" spans="1:16" s="20" customFormat="1" ht="14.25" customHeight="1" thickBot="1" thickTop="1">
      <c r="A8" s="54" t="s">
        <v>7</v>
      </c>
      <c r="B8" s="182"/>
      <c r="C8" s="182"/>
      <c r="D8" s="182"/>
      <c r="E8" s="182"/>
      <c r="F8" s="166" t="s">
        <v>86</v>
      </c>
      <c r="G8" s="122" t="s">
        <v>87</v>
      </c>
      <c r="H8" s="90" t="str">
        <f>Konfig!B10</f>
        <v>3. Tag</v>
      </c>
      <c r="I8" s="91" t="str">
        <f>IF(Tag3="","",IF(Tag3Vorm_von="",CONCATENATE(TEXT(Tag3,"TTTT TT.MM.")," ",TEXT(Tag3Nachm_von,"hh:mm")," - ",TEXT(Tag3Nachm_bis,"hh:mm")),IF(Tag3Nachm_von="",CONCATENATE(TEXT(Tag3,"TTTT TT.MM.")," ",TEXT(Tag3Vorm_von,"hh:mm")," - ",TEXT(Tag3Vorm_bis,"hh:mm")),CONCATENATE(TEXT(Tag3,"TTTT TT.MM.")," ",TEXT(Tag3Vorm_von,"hh:mm")," - ",TEXT(Tag3Vorm_bis,"hh:mm")," und ",TEXT(Tag3Nachm_von,"hh:mm")," - ",TEXT(Tag3Nachm_bis,"hh:mm")))))</f>
        <v>Sonntag 18.06. 08:00 - 14:00</v>
      </c>
      <c r="J8" s="86"/>
      <c r="K8" s="48"/>
      <c r="L8" s="88"/>
      <c r="M8" s="88"/>
      <c r="N8" s="87"/>
      <c r="O8" s="87"/>
      <c r="P8" s="87"/>
    </row>
    <row r="9" spans="1:19" s="20" customFormat="1" ht="14.25" customHeight="1" thickTop="1">
      <c r="A9" s="54" t="str">
        <f>CONCATENATE("Teilnehmer: ",SUM(Zusammenfassung!G13:G72)," Schützen")</f>
        <v>Teilnehmer: 0 Schützen</v>
      </c>
      <c r="B9" s="86"/>
      <c r="C9" s="86"/>
      <c r="D9" s="86"/>
      <c r="E9" s="86"/>
      <c r="F9" s="86"/>
      <c r="G9" s="86"/>
      <c r="H9" s="90" t="str">
        <f>Konfig!B11</f>
        <v>4. Tag</v>
      </c>
      <c r="I9" s="91" t="str">
        <f>IF(Tag4="","",IF(Tag4Vorm_von="",CONCATENATE(TEXT(Tag4,"TTTT TT.MM.")," ",TEXT(Tag4Nachm_von,"hh:mm")," - ",TEXT(Tag4Nachm_bis,"hh:mm")),IF(Tag4Nachm_von="",CONCATENATE(TEXT(Tag4,"TTTT TT.MM.")," ",TEXT(Tag4Vorm_von,"hh:mm")," - ",TEXT(Tag4Vorm_bis,"hh:mm")),CONCATENATE(TEXT(Tag4,"TTTT TT.MM.")," ",TEXT(Tag4Vorm_von,"hh:mm")," - ",TEXT(Tag4Vorm_bis,"hh:mm")," und ",TEXT(Tag4Nachm_von,"hh:mm")," - ",TEXT(Tag4Nachm_bis,"hh:mm")))))</f>
        <v>Freitag 23.06. 17:00 - 21:00</v>
      </c>
      <c r="J9" s="86"/>
      <c r="K9" s="48"/>
      <c r="L9" s="88"/>
      <c r="M9" s="88"/>
      <c r="N9" s="87"/>
      <c r="O9" s="87"/>
      <c r="P9" s="87"/>
      <c r="Q9" s="7"/>
      <c r="R9" s="7"/>
      <c r="S9" s="7"/>
    </row>
    <row r="10" spans="1:16" s="20" customFormat="1" ht="14.25" customHeight="1">
      <c r="A10" s="55"/>
      <c r="B10" s="86"/>
      <c r="C10" s="86"/>
      <c r="D10" s="86"/>
      <c r="E10" s="86"/>
      <c r="F10" s="86"/>
      <c r="G10" s="86"/>
      <c r="H10" s="90" t="str">
        <f>Konfig!B12</f>
        <v>5. Tag</v>
      </c>
      <c r="I10" s="91" t="str">
        <f>IF(Tag5="","",IF(Tag5Vorm_von="",CONCATENATE(TEXT(Tag5,"TTTT TT.MM.")," ",TEXT(Tag5Nachm_von,"hh:mm")," - ",TEXT(Tag5Nachm_bis,"hh:mm")),IF(Tag5Nachm_von="",CONCATENATE(TEXT(Tag5,"TTTT TT.MM.")," ",TEXT(Tag5Vorm_von,"hh:mm")," - ",TEXT(Tag5Vorm_bis,"hh:mm")),CONCATENATE(TEXT(Tag5,"TTTT TT.MM.")," ",TEXT(Tag5Vorm_von,"hh:mm")," - ",TEXT(Tag5Vorm_bis,"hh:mm")," und ",TEXT(Tag5Nachm_von,"hh:mm")," - ",TEXT(Tag5Nachm_bis,"hh:mm")))))</f>
        <v>Samstag 24.06. 08:00 - 12:00 und 13:30 - 20:00</v>
      </c>
      <c r="J10" s="86"/>
      <c r="K10" s="48"/>
      <c r="L10" s="88"/>
      <c r="M10" s="88"/>
      <c r="N10" s="87"/>
      <c r="O10" s="87"/>
      <c r="P10" s="87"/>
    </row>
    <row r="11" spans="1:19" s="20" customFormat="1" ht="12.75">
      <c r="A11" s="55"/>
      <c r="B11" s="86"/>
      <c r="C11" s="86"/>
      <c r="D11" s="86"/>
      <c r="E11" s="86"/>
      <c r="F11" s="86"/>
      <c r="G11" s="86"/>
      <c r="H11" s="90" t="str">
        <f>Konfig!B13</f>
        <v>6. Tag</v>
      </c>
      <c r="I11" s="165" t="str">
        <f>IF(Tag6="","",IF(Tag6Vorm_von="",CONCATENATE(TEXT(Tag6,"TTTT TT.MM.")," ",TEXT(Tag6Nachm_von,"hh:mm")," - ",TEXT(Tag6Nachm_bis,"hh:mm")),IF(Tag6Nachm_von="",CONCATENATE(TEXT(Tag6,"TTTT TT.MM.")," ",TEXT(Tag6Vorm_von,"hh:mm")," - ",TEXT(Tag6Vorm_bis,"hh:mm")),CONCATENATE(TEXT(Tag6,"TTTT TT.MM.")," ",TEXT(Tag6Vorm_von,"hh:mm")," - ",TEXT(Tag6Vorm_bis,"hh:mm")," und ",TEXT(Tag6Nachm_von,"hh:mm")," - ",TEXT(Tag6Nachm_bis,"hh:mm")))))</f>
        <v>Sonntag 25.06. 08:00 - 12:00 und (Reserve) -  </v>
      </c>
      <c r="J11" s="121"/>
      <c r="K11" s="56"/>
      <c r="L11" s="88"/>
      <c r="M11" s="88"/>
      <c r="N11" s="87"/>
      <c r="O11" s="87"/>
      <c r="P11" s="87"/>
      <c r="Q11" s="7"/>
      <c r="R11" s="7"/>
      <c r="S11" s="7"/>
    </row>
    <row r="12" spans="1:16" s="20" customFormat="1" ht="12.75">
      <c r="A12" s="57"/>
      <c r="B12" s="86"/>
      <c r="C12" s="86"/>
      <c r="D12" s="86"/>
      <c r="E12" s="86"/>
      <c r="F12" s="86"/>
      <c r="G12" s="86"/>
      <c r="H12" s="90"/>
      <c r="I12" s="165"/>
      <c r="J12" s="121"/>
      <c r="K12" s="56"/>
      <c r="L12" s="88"/>
      <c r="M12" s="88"/>
      <c r="N12" s="87"/>
      <c r="O12" s="87"/>
      <c r="P12" s="87"/>
    </row>
    <row r="13" spans="1:19" s="20" customFormat="1" ht="12.75">
      <c r="A13" s="57"/>
      <c r="B13" s="58"/>
      <c r="C13" s="58"/>
      <c r="D13" s="58"/>
      <c r="E13" s="58"/>
      <c r="F13" s="58"/>
      <c r="G13" s="86"/>
      <c r="H13" s="86"/>
      <c r="I13" s="86"/>
      <c r="J13" s="86"/>
      <c r="K13" s="56"/>
      <c r="L13" s="88"/>
      <c r="M13" s="88"/>
      <c r="N13" s="87"/>
      <c r="O13" s="87"/>
      <c r="P13" s="87"/>
      <c r="Q13" s="7"/>
      <c r="R13" s="7"/>
      <c r="S13" s="7"/>
    </row>
    <row r="14" spans="1:16" s="20" customFormat="1" ht="12.75">
      <c r="A14" s="57"/>
      <c r="B14" s="58"/>
      <c r="C14" s="84"/>
      <c r="D14" s="58"/>
      <c r="E14" s="58"/>
      <c r="F14" s="58"/>
      <c r="G14" s="86"/>
      <c r="H14" s="86"/>
      <c r="I14" s="86"/>
      <c r="J14" s="86"/>
      <c r="K14" s="56"/>
      <c r="L14" s="92"/>
      <c r="M14" s="88"/>
      <c r="N14" s="87"/>
      <c r="O14" s="87"/>
      <c r="P14" s="87"/>
    </row>
    <row r="15" spans="1:19" s="20" customFormat="1" ht="12.75">
      <c r="A15" s="57"/>
      <c r="B15" s="58"/>
      <c r="C15" s="84"/>
      <c r="D15" s="58"/>
      <c r="E15" s="58"/>
      <c r="F15" s="58"/>
      <c r="G15" s="86"/>
      <c r="H15" s="86"/>
      <c r="I15" s="86"/>
      <c r="J15" s="86"/>
      <c r="K15" s="56"/>
      <c r="L15" s="88"/>
      <c r="M15" s="88"/>
      <c r="N15" s="87"/>
      <c r="O15" s="87"/>
      <c r="P15" s="87"/>
      <c r="Q15" s="7"/>
      <c r="R15" s="7"/>
      <c r="S15" s="7"/>
    </row>
    <row r="16" spans="1:16" s="20" customFormat="1" ht="12.75">
      <c r="A16" s="55"/>
      <c r="B16" s="86"/>
      <c r="C16" s="86"/>
      <c r="D16" s="86"/>
      <c r="E16" s="86"/>
      <c r="F16" s="86"/>
      <c r="G16" s="86"/>
      <c r="H16" s="86"/>
      <c r="I16" s="86"/>
      <c r="J16" s="86"/>
      <c r="K16" s="56"/>
      <c r="L16" s="88"/>
      <c r="M16" s="88"/>
      <c r="N16" s="87"/>
      <c r="O16" s="87"/>
      <c r="P16" s="87"/>
    </row>
    <row r="17" spans="1:18" s="20" customFormat="1" ht="14.25" customHeight="1">
      <c r="A17" s="59" t="s">
        <v>8</v>
      </c>
      <c r="B17" s="178" t="s">
        <v>85</v>
      </c>
      <c r="C17" s="178"/>
      <c r="D17" s="178"/>
      <c r="E17" s="60" t="s">
        <v>42</v>
      </c>
      <c r="F17" s="86"/>
      <c r="G17" s="61" t="s">
        <v>17</v>
      </c>
      <c r="H17" s="86"/>
      <c r="I17" s="86"/>
      <c r="J17" s="121"/>
      <c r="K17" s="56"/>
      <c r="L17" s="88"/>
      <c r="M17" s="87"/>
      <c r="N17" s="87"/>
      <c r="O17" s="87"/>
      <c r="P17" s="7"/>
      <c r="Q17" s="7"/>
      <c r="R17" s="7"/>
    </row>
    <row r="18" spans="1:18" s="20" customFormat="1" ht="14.25">
      <c r="A18" s="59"/>
      <c r="B18" s="179"/>
      <c r="C18" s="179"/>
      <c r="D18" s="179"/>
      <c r="E18" s="60"/>
      <c r="F18" s="121"/>
      <c r="G18" s="61"/>
      <c r="H18" s="121"/>
      <c r="I18" s="121"/>
      <c r="J18" s="121"/>
      <c r="K18" s="56"/>
      <c r="L18" s="88"/>
      <c r="M18" s="87"/>
      <c r="N18" s="87"/>
      <c r="O18" s="87"/>
      <c r="P18" s="7"/>
      <c r="Q18" s="7"/>
      <c r="R18" s="7"/>
    </row>
    <row r="19" spans="1:15" s="20" customFormat="1" ht="15">
      <c r="A19" s="62">
        <v>1</v>
      </c>
      <c r="B19" s="174">
        <f>IF(E19="","",CONCATENATE(RIGHT(Sektion,(LEN(Sektion)-FIND(" ",Sektion)))," ",A19))</f>
      </c>
      <c r="C19" s="174"/>
      <c r="D19" s="174"/>
      <c r="E19" s="93">
        <f>IF(COUNTIF(Zusammenfassung!$E$13:$E$72,Sektion!A19)=0,"",COUNTIF(Zusammenfassung!$E$13:$E$72,Sektion!A19))</f>
      </c>
      <c r="F19" s="86"/>
      <c r="G19" s="176" t="s">
        <v>10</v>
      </c>
      <c r="H19" s="181" t="s">
        <v>18</v>
      </c>
      <c r="I19" s="181"/>
      <c r="J19" s="122"/>
      <c r="K19" s="56"/>
      <c r="L19" s="88"/>
      <c r="M19" s="87"/>
      <c r="N19" s="87"/>
      <c r="O19" s="87"/>
    </row>
    <row r="20" spans="1:18" s="20" customFormat="1" ht="15">
      <c r="A20" s="62">
        <v>2</v>
      </c>
      <c r="B20" s="174">
        <f>IF(E20="","",CONCATENATE(RIGHT(Sektion,(LEN(Sektion)-FIND(" ",Sektion)))," ",A20))</f>
      </c>
      <c r="C20" s="174"/>
      <c r="D20" s="174"/>
      <c r="E20" s="93">
        <f>IF(COUNTIF(Zusammenfassung!$E$13:$E$72,Sektion!A20)=0,"",COUNTIF(Zusammenfassung!$E$13:$E$72,Sektion!A20))</f>
      </c>
      <c r="F20" s="86"/>
      <c r="G20" s="177"/>
      <c r="H20" s="85" t="s">
        <v>19</v>
      </c>
      <c r="I20" s="85" t="s">
        <v>20</v>
      </c>
      <c r="J20" s="120"/>
      <c r="K20" s="56"/>
      <c r="L20" s="88"/>
      <c r="M20" s="87"/>
      <c r="N20" s="87"/>
      <c r="O20" s="87"/>
      <c r="P20" s="7"/>
      <c r="Q20" s="7"/>
      <c r="R20" s="7"/>
    </row>
    <row r="21" spans="1:15" s="20" customFormat="1" ht="15">
      <c r="A21" s="62">
        <v>3</v>
      </c>
      <c r="B21" s="174">
        <f>IF(E21="","",CONCATENATE(RIGHT(Sektion,(LEN(Sektion)-FIND(" ",Sektion)))," ",A21))</f>
      </c>
      <c r="C21" s="174"/>
      <c r="D21" s="174"/>
      <c r="E21" s="93">
        <f>IF(COUNTIF(Zusammenfassung!$E$13:$E$72,Sektion!A21)=0,"",COUNTIF(Zusammenfassung!$E$13:$E$72,Sektion!A21))</f>
      </c>
      <c r="F21" s="86"/>
      <c r="G21" s="58" t="str">
        <f>IF(Konfig!B16="","",Konfig!B16)</f>
        <v>Standblatt inkl. Soli Abgabe</v>
      </c>
      <c r="H21" s="63">
        <f>IF(Konfig!D16="","",Konfig!D16)</f>
        <v>8</v>
      </c>
      <c r="I21" s="63">
        <f>IF(Konfig!E16="","",Konfig!E16)</f>
        <v>0</v>
      </c>
      <c r="J21" s="63"/>
      <c r="K21" s="56"/>
      <c r="L21" s="88"/>
      <c r="M21" s="87"/>
      <c r="N21" s="87"/>
      <c r="O21" s="87"/>
    </row>
    <row r="22" spans="1:18" s="20" customFormat="1" ht="15">
      <c r="A22" s="62">
        <v>4</v>
      </c>
      <c r="B22" s="174">
        <f>IF(E22="","",CONCATENATE(RIGHT(Sektion,(LEN(Sektion)-FIND(" ",Sektion)))," ",A22))</f>
      </c>
      <c r="C22" s="174"/>
      <c r="D22" s="174"/>
      <c r="E22" s="93">
        <f>IF(COUNTIF(Zusammenfassung!$E$13:$E$72,Sektion!A22)=0,"",COUNTIF(Zusammenfassung!$E$13:$E$72,Sektion!A22))</f>
      </c>
      <c r="F22" s="86"/>
      <c r="G22" s="58" t="str">
        <f>IF(Konfig!B17="","",Konfig!B17)</f>
        <v>Übungskehr pro Passe</v>
      </c>
      <c r="H22" s="63">
        <f>IF(Konfig!D17="","",Konfig!D17)</f>
        <v>3</v>
      </c>
      <c r="I22" s="63">
        <f>IF(Konfig!E17="","",Konfig!E17)</f>
        <v>3</v>
      </c>
      <c r="J22" s="63"/>
      <c r="K22" s="56"/>
      <c r="L22" s="88"/>
      <c r="M22" s="87"/>
      <c r="N22" s="87"/>
      <c r="O22" s="87"/>
      <c r="P22" s="7"/>
      <c r="Q22" s="7"/>
      <c r="R22" s="7"/>
    </row>
    <row r="23" spans="1:15" s="20" customFormat="1" ht="15">
      <c r="A23" s="62">
        <v>5</v>
      </c>
      <c r="B23" s="174">
        <f>IF(E23="","",CONCATENATE(RIGHT(Sektion,(LEN(Sektion)-FIND(" ",Sektion)))," ",A23))</f>
      </c>
      <c r="C23" s="174"/>
      <c r="D23" s="174"/>
      <c r="E23" s="93">
        <f>IF(COUNTIF(Zusammenfassung!$E$13:$E$72,Sektion!A23)=0,"",COUNTIF(Zusammenfassung!$E$13:$E$72,Sektion!A23))</f>
      </c>
      <c r="F23" s="86"/>
      <c r="G23" s="58" t="str">
        <f>IF(Konfig!B18="","",Konfig!B18)</f>
        <v>Sektion</v>
      </c>
      <c r="H23" s="63">
        <f>IF(Konfig!D18="","",Konfig!D18)</f>
        <v>8</v>
      </c>
      <c r="I23" s="63">
        <f>IF(Konfig!E18="","",Konfig!E18)</f>
        <v>4</v>
      </c>
      <c r="J23" s="63"/>
      <c r="K23" s="56"/>
      <c r="L23" s="88"/>
      <c r="M23" s="87"/>
      <c r="N23" s="87"/>
      <c r="O23" s="87"/>
    </row>
    <row r="24" spans="1:15" s="20" customFormat="1" ht="12.75">
      <c r="A24" s="55"/>
      <c r="B24" s="58" t="s">
        <v>80</v>
      </c>
      <c r="C24" s="86"/>
      <c r="D24" s="86"/>
      <c r="E24" s="119"/>
      <c r="F24" s="119"/>
      <c r="G24" s="58" t="str">
        <f>IF(Konfig!B19="","",Konfig!B19)</f>
        <v>Gruppe</v>
      </c>
      <c r="H24" s="63">
        <f>IF(Konfig!D19="","",Konfig!D19)</f>
        <v>8</v>
      </c>
      <c r="I24" s="63">
        <f>IF(Konfig!E19="","",Konfig!E19)</f>
        <v>4</v>
      </c>
      <c r="J24" s="63"/>
      <c r="K24" s="56"/>
      <c r="L24" s="88"/>
      <c r="M24" s="87"/>
      <c r="N24" s="87"/>
      <c r="O24" s="87"/>
    </row>
    <row r="25" spans="1:18" s="20" customFormat="1" ht="12.75">
      <c r="A25" s="55"/>
      <c r="B25" s="58"/>
      <c r="C25" s="119"/>
      <c r="D25" s="119"/>
      <c r="E25" s="86"/>
      <c r="F25" s="86"/>
      <c r="G25" s="58" t="str">
        <f>IF(Konfig!B20="","",Konfig!B20)</f>
        <v>Auszahlungsstich</v>
      </c>
      <c r="H25" s="63">
        <f>IF(Konfig!D20="","",Konfig!D20)</f>
        <v>8</v>
      </c>
      <c r="I25" s="63">
        <f>IF(Konfig!E20="","",Konfig!E20)</f>
        <v>4</v>
      </c>
      <c r="J25" s="63"/>
      <c r="K25" s="56"/>
      <c r="L25" s="88"/>
      <c r="M25" s="87"/>
      <c r="N25" s="87"/>
      <c r="O25" s="87"/>
      <c r="P25" s="7"/>
      <c r="Q25" s="7"/>
      <c r="R25" s="7"/>
    </row>
    <row r="26" spans="1:18" s="20" customFormat="1" ht="12.75">
      <c r="A26" s="55"/>
      <c r="B26" s="58"/>
      <c r="C26" s="119"/>
      <c r="D26" s="119"/>
      <c r="E26" s="119"/>
      <c r="F26" s="119"/>
      <c r="G26" s="58" t="str">
        <f>IF(Konfig!B21="","",Konfig!B21)</f>
        <v>Kranz HD</v>
      </c>
      <c r="H26" s="63">
        <f>IF(Konfig!D21="","",Konfig!D21)</f>
        <v>8</v>
      </c>
      <c r="I26" s="63">
        <f>IF(Konfig!E21="","",Konfig!E21)</f>
        <v>4</v>
      </c>
      <c r="J26" s="63"/>
      <c r="K26" s="56"/>
      <c r="L26" s="88"/>
      <c r="M26" s="87"/>
      <c r="N26" s="87"/>
      <c r="O26" s="87"/>
      <c r="P26" s="7"/>
      <c r="Q26" s="7"/>
      <c r="R26" s="7"/>
    </row>
    <row r="27" spans="1:15" s="20" customFormat="1" ht="14.25">
      <c r="A27" s="64" t="s">
        <v>11</v>
      </c>
      <c r="B27" s="86"/>
      <c r="C27" s="86"/>
      <c r="D27" s="86"/>
      <c r="E27" s="86"/>
      <c r="F27" s="86"/>
      <c r="G27" s="58" t="str">
        <f>IF(Konfig!B22="","",Konfig!B22)</f>
        <v>Kranz ND</v>
      </c>
      <c r="H27" s="63">
        <f>IF(Konfig!D22="","",Konfig!D22)</f>
        <v>6</v>
      </c>
      <c r="I27" s="63">
        <f>IF(Konfig!E22="","",Konfig!E22)</f>
        <v>3</v>
      </c>
      <c r="J27" s="63"/>
      <c r="K27" s="56"/>
      <c r="L27" s="88"/>
      <c r="M27" s="87"/>
      <c r="N27" s="87"/>
      <c r="O27" s="87"/>
    </row>
    <row r="28" spans="1:18" s="20" customFormat="1" ht="12.75">
      <c r="A28" s="55"/>
      <c r="B28" s="86"/>
      <c r="C28" s="183"/>
      <c r="D28" s="183"/>
      <c r="E28" s="183"/>
      <c r="F28" s="86"/>
      <c r="G28" s="58" t="str">
        <f>IF(Konfig!B23="","",Konfig!B23)</f>
        <v>Glückstich (Nachdoppel)</v>
      </c>
      <c r="H28" s="63">
        <f>IF(Konfig!D23="","",Konfig!D23)</f>
        <v>2.5</v>
      </c>
      <c r="I28" s="63">
        <f>IF(Konfig!E23="","",Konfig!E23)</f>
        <v>2.5</v>
      </c>
      <c r="J28" s="63"/>
      <c r="K28" s="56"/>
      <c r="L28" s="88"/>
      <c r="M28" s="87"/>
      <c r="N28" s="87"/>
      <c r="O28" s="87"/>
      <c r="P28" s="7"/>
      <c r="Q28" s="7"/>
      <c r="R28" s="7"/>
    </row>
    <row r="29" spans="1:15" s="20" customFormat="1" ht="12.75">
      <c r="A29" s="65" t="s">
        <v>12</v>
      </c>
      <c r="B29" s="175"/>
      <c r="C29" s="175"/>
      <c r="D29" s="175"/>
      <c r="E29" s="175"/>
      <c r="F29" s="86"/>
      <c r="G29" s="58" t="str">
        <f>IF(Konfig!B24="","",Konfig!B24)</f>
        <v>Biber HD</v>
      </c>
      <c r="H29" s="63">
        <f>IF(Konfig!D24="","",Konfig!D24)</f>
        <v>15</v>
      </c>
      <c r="I29" s="63">
        <f>IF(Konfig!E24="","",Konfig!E24)</f>
        <v>15</v>
      </c>
      <c r="J29" s="63"/>
      <c r="K29" s="56"/>
      <c r="L29" s="88"/>
      <c r="M29" s="87"/>
      <c r="N29" s="87"/>
      <c r="O29" s="87"/>
    </row>
    <row r="30" spans="1:18" s="20" customFormat="1" ht="12.75">
      <c r="A30" s="65" t="s">
        <v>13</v>
      </c>
      <c r="B30" s="174"/>
      <c r="C30" s="174"/>
      <c r="D30" s="174"/>
      <c r="E30" s="174"/>
      <c r="F30" s="86"/>
      <c r="G30" s="58" t="str">
        <f>IF(Konfig!B25="","",Konfig!B25)</f>
        <v>Biber ND</v>
      </c>
      <c r="H30" s="63">
        <f>IF(Konfig!D25="","",Konfig!D25)</f>
        <v>8</v>
      </c>
      <c r="I30" s="63">
        <f>IF(Konfig!E25="","",Konfig!E25)</f>
        <v>8</v>
      </c>
      <c r="J30" s="58"/>
      <c r="K30" s="56"/>
      <c r="L30" s="88"/>
      <c r="M30" s="87"/>
      <c r="N30" s="87"/>
      <c r="O30" s="87"/>
      <c r="P30" s="7"/>
      <c r="Q30" s="7"/>
      <c r="R30" s="7"/>
    </row>
    <row r="31" spans="1:15" s="20" customFormat="1" ht="12.75">
      <c r="A31" s="65" t="s">
        <v>14</v>
      </c>
      <c r="B31" s="174"/>
      <c r="C31" s="174"/>
      <c r="D31" s="174"/>
      <c r="E31" s="174"/>
      <c r="F31" s="86"/>
      <c r="G31" s="58" t="str">
        <f>IF(Konfig!B26="","",Konfig!B26)</f>
        <v> </v>
      </c>
      <c r="H31" s="63" t="str">
        <f>IF(Konfig!D26="","",Konfig!D26)</f>
        <v> </v>
      </c>
      <c r="I31" s="63" t="str">
        <f>IF(Konfig!E26="","",Konfig!E26)</f>
        <v> </v>
      </c>
      <c r="J31" s="58"/>
      <c r="K31" s="56"/>
      <c r="L31" s="88"/>
      <c r="M31" s="87"/>
      <c r="N31" s="87"/>
      <c r="O31" s="87"/>
    </row>
    <row r="32" spans="1:18" s="20" customFormat="1" ht="12.75">
      <c r="A32" s="65" t="s">
        <v>15</v>
      </c>
      <c r="B32" s="174"/>
      <c r="C32" s="174"/>
      <c r="D32" s="174"/>
      <c r="E32" s="174"/>
      <c r="F32" s="86"/>
      <c r="G32" s="58" t="str">
        <f>IF(Konfig!B27="","",Konfig!B27)</f>
        <v> </v>
      </c>
      <c r="H32" s="63" t="str">
        <f>IF(Konfig!D27="","",Konfig!D27)</f>
        <v> </v>
      </c>
      <c r="I32" s="63" t="str">
        <f>IF(Konfig!E27="","",Konfig!E27)</f>
        <v> </v>
      </c>
      <c r="J32" s="58"/>
      <c r="K32" s="56"/>
      <c r="L32" s="88"/>
      <c r="M32" s="87"/>
      <c r="N32" s="87"/>
      <c r="O32" s="87"/>
      <c r="P32" s="7"/>
      <c r="Q32" s="7"/>
      <c r="R32" s="7"/>
    </row>
    <row r="33" spans="1:18" ht="12.75">
      <c r="A33" s="65" t="s">
        <v>16</v>
      </c>
      <c r="B33" s="173"/>
      <c r="C33" s="174"/>
      <c r="D33" s="174"/>
      <c r="E33" s="174"/>
      <c r="F33" s="47"/>
      <c r="G33" s="58">
        <f>IF(Konfig!B28="","",Konfig!B28)</f>
      </c>
      <c r="H33" s="63">
        <f>IF(Konfig!D28="","",Konfig!D28)</f>
      </c>
      <c r="I33" s="63">
        <f>IF(Konfig!E28="","",Konfig!E28)</f>
      </c>
      <c r="J33" s="63"/>
      <c r="K33" s="56"/>
      <c r="L33" s="88"/>
      <c r="M33" s="87"/>
      <c r="P33" s="20"/>
      <c r="Q33" s="20"/>
      <c r="R33" s="20"/>
    </row>
    <row r="34" spans="1:11" ht="12.75">
      <c r="A34" s="65" t="s">
        <v>76</v>
      </c>
      <c r="B34" s="180"/>
      <c r="C34" s="180"/>
      <c r="D34" s="180"/>
      <c r="E34" s="180"/>
      <c r="F34" s="47"/>
      <c r="G34" s="58"/>
      <c r="H34" s="58"/>
      <c r="I34" s="63"/>
      <c r="J34" s="63"/>
      <c r="K34" s="56"/>
    </row>
    <row r="35" spans="1:19" ht="16.5" thickBot="1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6"/>
      <c r="Q35" s="20"/>
      <c r="R35" s="20"/>
      <c r="S35" s="20"/>
    </row>
    <row r="36" spans="13:19" s="87" customFormat="1" ht="12.75">
      <c r="M36" s="88"/>
      <c r="Q36" s="7"/>
      <c r="R36" s="7"/>
      <c r="S36" s="7"/>
    </row>
    <row r="37" s="87" customFormat="1" ht="12.75">
      <c r="M37" s="88"/>
    </row>
    <row r="38" s="87" customFormat="1" ht="12.75">
      <c r="M38" s="88"/>
    </row>
    <row r="39" s="87" customFormat="1" ht="12.75">
      <c r="M39" s="88"/>
    </row>
    <row r="40" s="87" customFormat="1" ht="12.75">
      <c r="M40" s="88"/>
    </row>
    <row r="41" s="87" customFormat="1" ht="12.75">
      <c r="M41" s="88"/>
    </row>
    <row r="42" s="87" customFormat="1" ht="12.75">
      <c r="M42" s="88"/>
    </row>
    <row r="43" s="87" customFormat="1" ht="12.75">
      <c r="M43" s="88"/>
    </row>
    <row r="44" s="87" customFormat="1" ht="12.75">
      <c r="M44" s="88"/>
    </row>
    <row r="45" s="87" customFormat="1" ht="12.75">
      <c r="M45" s="88"/>
    </row>
    <row r="46" s="87" customFormat="1" ht="12.75">
      <c r="M46" s="88"/>
    </row>
    <row r="47" s="87" customFormat="1" ht="12.75">
      <c r="M47" s="88"/>
    </row>
    <row r="48" s="87" customFormat="1" ht="12.75">
      <c r="M48" s="88"/>
    </row>
    <row r="49" s="87" customFormat="1" ht="12.75">
      <c r="M49" s="88"/>
    </row>
    <row r="50" s="87" customFormat="1" ht="12.75">
      <c r="M50" s="88"/>
    </row>
    <row r="51" s="87" customFormat="1" ht="12.75">
      <c r="M51" s="88"/>
    </row>
  </sheetData>
  <sheetProtection/>
  <mergeCells count="16">
    <mergeCell ref="B17:D18"/>
    <mergeCell ref="B34:E34"/>
    <mergeCell ref="H19:I19"/>
    <mergeCell ref="B8:E8"/>
    <mergeCell ref="C28:E28"/>
    <mergeCell ref="B32:E32"/>
    <mergeCell ref="B19:D19"/>
    <mergeCell ref="B20:D20"/>
    <mergeCell ref="B21:D21"/>
    <mergeCell ref="B22:D22"/>
    <mergeCell ref="B33:E33"/>
    <mergeCell ref="B29:E29"/>
    <mergeCell ref="G19:G20"/>
    <mergeCell ref="B30:E30"/>
    <mergeCell ref="B31:E31"/>
    <mergeCell ref="B23:D23"/>
  </mergeCells>
  <conditionalFormatting sqref="E19:E23">
    <cfRule type="expression" priority="10" dxfId="12" stopIfTrue="1">
      <formula>OR(#REF!=1,#REF!=2,#REF!=3)</formula>
    </cfRule>
  </conditionalFormatting>
  <conditionalFormatting sqref="E20:E23">
    <cfRule type="expression" priority="11" dxfId="12" stopIfTrue="1">
      <formula>OR(#REF!=2,#REF!=3)</formula>
    </cfRule>
  </conditionalFormatting>
  <conditionalFormatting sqref="E21:E23">
    <cfRule type="expression" priority="12" dxfId="12" stopIfTrue="1">
      <formula>#REF!=3</formula>
    </cfRule>
  </conditionalFormatting>
  <printOptions/>
  <pageMargins left="0.3937007874015748" right="0.3937007874015748" top="0.5905511811023623" bottom="0.5905511811023623" header="0.3937007874015748" footer="0.3937007874015748"/>
  <pageSetup blackAndWhite="1" fitToHeight="0" fitToWidth="1" horizontalDpi="600" verticalDpi="600" orientation="landscape" paperSize="9" scale="86" r:id="rId3"/>
  <headerFooter alignWithMargins="0">
    <oddFooter>&amp;C&amp;D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Z72"/>
  <sheetViews>
    <sheetView showGridLines="0" zoomScale="90" zoomScaleNormal="90" zoomScalePageLayoutView="0" workbookViewId="0" topLeftCell="A5">
      <pane ySplit="8" topLeftCell="A13" activePane="bottomLeft" state="frozen"/>
      <selection pane="topLeft" activeCell="A5" sqref="A5"/>
      <selection pane="bottomLeft" activeCell="A8" sqref="A8"/>
    </sheetView>
  </sheetViews>
  <sheetFormatPr defaultColWidth="11.421875" defaultRowHeight="12.75"/>
  <cols>
    <col min="1" max="1" width="25.57421875" style="7" bestFit="1" customWidth="1"/>
    <col min="2" max="2" width="6.421875" style="13" bestFit="1" customWidth="1"/>
    <col min="3" max="3" width="4.57421875" style="13" bestFit="1" customWidth="1"/>
    <col min="4" max="4" width="8.57421875" style="157" bestFit="1" customWidth="1"/>
    <col min="5" max="5" width="9.140625" style="13" bestFit="1" customWidth="1"/>
    <col min="6" max="6" width="18.8515625" style="13" bestFit="1" customWidth="1"/>
    <col min="7" max="16" width="11.7109375" style="13" customWidth="1"/>
    <col min="17" max="18" width="13.421875" style="13" hidden="1" customWidth="1"/>
    <col min="19" max="19" width="7.8515625" style="13" bestFit="1" customWidth="1"/>
    <col min="20" max="20" width="11.57421875" style="13" customWidth="1"/>
    <col min="21" max="21" width="15.8515625" style="13" customWidth="1"/>
    <col min="22" max="22" width="12.7109375" style="14" bestFit="1" customWidth="1"/>
    <col min="23" max="23" width="11.421875" style="15" customWidth="1"/>
    <col min="24" max="24" width="6.421875" style="15" bestFit="1" customWidth="1"/>
    <col min="25" max="25" width="5.8515625" style="15" hidden="1" customWidth="1"/>
    <col min="26" max="26" width="2.140625" style="16" bestFit="1" customWidth="1"/>
    <col min="27" max="16384" width="11.421875" style="7" customWidth="1"/>
  </cols>
  <sheetData>
    <row r="1" spans="1:26" ht="18">
      <c r="A1" s="186" t="str">
        <f>Sektion!A1</f>
        <v>Biberschiessen des ASV Herisau-Waldstatt 2017 in Herisau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3"/>
      <c r="N1" s="3"/>
      <c r="O1" s="3"/>
      <c r="P1" s="3"/>
      <c r="Q1" s="3"/>
      <c r="R1" s="3"/>
      <c r="S1" s="3"/>
      <c r="T1" s="3"/>
      <c r="U1" s="3"/>
      <c r="V1" s="4"/>
      <c r="W1" s="5"/>
      <c r="X1" s="5"/>
      <c r="Y1" s="5"/>
      <c r="Z1" s="6"/>
    </row>
    <row r="2" spans="1:26" ht="15.75">
      <c r="A2" s="184" t="s">
        <v>21</v>
      </c>
      <c r="B2" s="185"/>
      <c r="C2" s="185"/>
      <c r="D2" s="185"/>
      <c r="E2" s="185"/>
      <c r="F2" s="185"/>
      <c r="G2" s="185"/>
      <c r="H2" s="185"/>
      <c r="I2" s="185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"/>
      <c r="W2" s="5"/>
      <c r="X2" s="5"/>
      <c r="Y2" s="5"/>
      <c r="Z2" s="6"/>
    </row>
    <row r="3" spans="1:26" ht="15.75">
      <c r="A3" s="8"/>
      <c r="B3" s="2"/>
      <c r="C3" s="9"/>
      <c r="D3" s="156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4"/>
      <c r="W3" s="5"/>
      <c r="X3" s="5"/>
      <c r="Y3" s="5"/>
      <c r="Z3" s="6"/>
    </row>
    <row r="4" spans="1:26" ht="15.75">
      <c r="A4" s="184" t="s">
        <v>27</v>
      </c>
      <c r="B4" s="185"/>
      <c r="C4" s="185"/>
      <c r="D4" s="185"/>
      <c r="E4" s="185"/>
      <c r="F4" s="185"/>
      <c r="G4" s="185"/>
      <c r="H4" s="185"/>
      <c r="I4" s="185"/>
      <c r="J4" s="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5"/>
      <c r="X4" s="5"/>
      <c r="Y4" s="5"/>
      <c r="Z4" s="6"/>
    </row>
    <row r="5" spans="1:26" ht="28.5" customHeight="1" thickBot="1">
      <c r="A5" s="10">
        <f>IF(SUM(Z13:Z34)&gt;0,"Achtung! Stellung eintragen!!","")</f>
      </c>
      <c r="B5" s="10">
        <f>IF(SUM(AA13:AA34)&gt;0,"Achtung! Stellung eintragen!!","")</f>
      </c>
      <c r="C5" s="10">
        <f>IF(SUM(AB13:AB34)&gt;0,"Achtung! Stellung eintragen!!","")</f>
      </c>
      <c r="D5" s="10">
        <f>IF(SUM(AC13:AC34)&gt;0,"Achtung! Stellung eintragen!!","")</f>
      </c>
      <c r="E5" s="196" t="s">
        <v>28</v>
      </c>
      <c r="F5" s="196"/>
      <c r="G5" s="196"/>
      <c r="H5" s="196"/>
      <c r="I5" s="196"/>
      <c r="J5" s="2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4"/>
      <c r="W5" s="5"/>
      <c r="X5" s="5"/>
      <c r="Y5" s="5"/>
      <c r="Z5" s="6"/>
    </row>
    <row r="6" spans="1:26" ht="14.25" thickBot="1" thickTop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197" t="s">
        <v>75</v>
      </c>
      <c r="W6" s="198"/>
      <c r="X6" s="42">
        <v>0.010416666666666666</v>
      </c>
      <c r="Y6" s="11"/>
      <c r="Z6" s="6"/>
    </row>
    <row r="7" spans="1:26" ht="26.25" thickTop="1">
      <c r="A7" s="40" t="s">
        <v>22</v>
      </c>
      <c r="B7" s="41" t="s">
        <v>25</v>
      </c>
      <c r="C7" s="41" t="s">
        <v>74</v>
      </c>
      <c r="D7" s="141" t="s">
        <v>64</v>
      </c>
      <c r="E7" s="66" t="s">
        <v>26</v>
      </c>
      <c r="F7" s="142"/>
      <c r="G7" s="167" t="str">
        <f>Stich1</f>
        <v>Standblatt</v>
      </c>
      <c r="H7" s="168" t="str">
        <f>Stich2</f>
        <v>Kehr</v>
      </c>
      <c r="I7" s="168" t="str">
        <f>Stich3</f>
        <v>Sektion</v>
      </c>
      <c r="J7" s="168" t="str">
        <f>Stich4</f>
        <v>Gruppe</v>
      </c>
      <c r="K7" s="168" t="str">
        <f>Stich5</f>
        <v>Auszahlung</v>
      </c>
      <c r="L7" s="168" t="str">
        <f>Stich6</f>
        <v>Kranz HD</v>
      </c>
      <c r="M7" s="168" t="str">
        <f>Stich7</f>
        <v>Kranz ND</v>
      </c>
      <c r="N7" s="168" t="str">
        <f>Stich8</f>
        <v>Glückstich (Mouchen)</v>
      </c>
      <c r="O7" s="168" t="str">
        <f>Stich9</f>
        <v>Biber HD</v>
      </c>
      <c r="P7" s="168" t="str">
        <f>Stich10</f>
        <v>Biber ND</v>
      </c>
      <c r="Q7" s="41" t="str">
        <f>Stich11</f>
        <v> </v>
      </c>
      <c r="R7" s="41" t="str">
        <f>Stich12</f>
        <v> </v>
      </c>
      <c r="S7" s="187" t="s">
        <v>67</v>
      </c>
      <c r="T7" s="187" t="s">
        <v>68</v>
      </c>
      <c r="U7" s="189" t="s">
        <v>41</v>
      </c>
      <c r="V7" s="199" t="s">
        <v>4</v>
      </c>
      <c r="W7" s="202" t="s">
        <v>23</v>
      </c>
      <c r="X7" s="193" t="s">
        <v>24</v>
      </c>
      <c r="Y7" s="12"/>
      <c r="Z7" s="6"/>
    </row>
    <row r="8" spans="1:26" ht="12.75">
      <c r="A8" s="138"/>
      <c r="B8" s="149"/>
      <c r="C8" s="149"/>
      <c r="D8" s="150"/>
      <c r="E8" s="144"/>
      <c r="F8" s="125" t="s">
        <v>54</v>
      </c>
      <c r="G8" s="68" t="str">
        <f>Schuss1</f>
        <v> </v>
      </c>
      <c r="H8" s="67">
        <f>Schuss2</f>
        <v>6</v>
      </c>
      <c r="I8" s="67">
        <f>Schuss3</f>
        <v>6</v>
      </c>
      <c r="J8" s="67">
        <f>Schuss4</f>
        <v>6</v>
      </c>
      <c r="K8" s="67">
        <f>Schuss5</f>
        <v>10</v>
      </c>
      <c r="L8" s="67">
        <f>Schuss6</f>
        <v>6</v>
      </c>
      <c r="M8" s="67">
        <f>Schuss7</f>
        <v>6</v>
      </c>
      <c r="N8" s="67">
        <f>Schuss8</f>
        <v>2</v>
      </c>
      <c r="O8" s="67">
        <f>Schuss9</f>
        <v>6</v>
      </c>
      <c r="P8" s="67">
        <f>Schuss10</f>
        <v>6</v>
      </c>
      <c r="Q8" s="67" t="str">
        <f>Schuss11</f>
        <v> </v>
      </c>
      <c r="R8" s="67" t="str">
        <f>Schuss12</f>
        <v> </v>
      </c>
      <c r="S8" s="188"/>
      <c r="T8" s="188"/>
      <c r="U8" s="190"/>
      <c r="V8" s="200"/>
      <c r="W8" s="203"/>
      <c r="X8" s="194"/>
      <c r="Y8" s="12"/>
      <c r="Z8" s="6"/>
    </row>
    <row r="9" spans="1:26" ht="12.75">
      <c r="A9" s="139"/>
      <c r="B9" s="151"/>
      <c r="C9" s="151"/>
      <c r="D9" s="158"/>
      <c r="E9" s="145"/>
      <c r="F9" s="125" t="s">
        <v>65</v>
      </c>
      <c r="G9" s="69">
        <f>PreisStich1</f>
        <v>8</v>
      </c>
      <c r="H9" s="70">
        <f>PreisStich2</f>
        <v>3</v>
      </c>
      <c r="I9" s="70">
        <f>PreisStich3</f>
        <v>8</v>
      </c>
      <c r="J9" s="70">
        <f>PreisStich4</f>
        <v>8</v>
      </c>
      <c r="K9" s="70">
        <f>PreisStich5</f>
        <v>8</v>
      </c>
      <c r="L9" s="70">
        <f>PreisStich6</f>
        <v>8</v>
      </c>
      <c r="M9" s="70">
        <f>PreisStich7</f>
        <v>6</v>
      </c>
      <c r="N9" s="70">
        <f>PreisStich8</f>
        <v>2.5</v>
      </c>
      <c r="O9" s="70">
        <f>PreisStich9</f>
        <v>15</v>
      </c>
      <c r="P9" s="70">
        <f>PreisStich10</f>
        <v>8</v>
      </c>
      <c r="Q9" s="70" t="str">
        <f>PreisStich11</f>
        <v> </v>
      </c>
      <c r="R9" s="70" t="str">
        <f>PreisStich12</f>
        <v> </v>
      </c>
      <c r="S9" s="188"/>
      <c r="T9" s="188"/>
      <c r="U9" s="190"/>
      <c r="V9" s="200"/>
      <c r="W9" s="203"/>
      <c r="X9" s="194"/>
      <c r="Y9" s="12"/>
      <c r="Z9" s="6"/>
    </row>
    <row r="10" spans="1:26" ht="12.75">
      <c r="A10" s="140"/>
      <c r="B10" s="152"/>
      <c r="C10" s="152"/>
      <c r="D10" s="159"/>
      <c r="E10" s="146"/>
      <c r="F10" s="143" t="s">
        <v>66</v>
      </c>
      <c r="G10" s="77">
        <f>PreisStichJun1</f>
        <v>0</v>
      </c>
      <c r="H10" s="78">
        <f>PreisStichJun2</f>
        <v>3</v>
      </c>
      <c r="I10" s="78">
        <f>PreisStichJun3</f>
        <v>4</v>
      </c>
      <c r="J10" s="78">
        <f>PreisStichJun4</f>
        <v>4</v>
      </c>
      <c r="K10" s="78">
        <f>PreisStichJun5</f>
        <v>4</v>
      </c>
      <c r="L10" s="78">
        <f>PreisStichJun6</f>
        <v>4</v>
      </c>
      <c r="M10" s="78">
        <f>PreisStichJun7</f>
        <v>3</v>
      </c>
      <c r="N10" s="78">
        <f>PreisStichJun8</f>
        <v>2.5</v>
      </c>
      <c r="O10" s="78">
        <f>PreisStichJun9</f>
        <v>15</v>
      </c>
      <c r="P10" s="78">
        <f>PreisStichJun10</f>
        <v>8</v>
      </c>
      <c r="Q10" s="78" t="str">
        <f>PreisStichJun11</f>
        <v> </v>
      </c>
      <c r="R10" s="78" t="str">
        <f>PreisStichJun12</f>
        <v> </v>
      </c>
      <c r="S10" s="188"/>
      <c r="T10" s="188"/>
      <c r="U10" s="190"/>
      <c r="V10" s="200"/>
      <c r="W10" s="203"/>
      <c r="X10" s="194"/>
      <c r="Y10" s="12"/>
      <c r="Z10" s="6"/>
    </row>
    <row r="11" spans="1:26" ht="13.5" thickBot="1">
      <c r="A11" s="148"/>
      <c r="B11" s="137"/>
      <c r="C11" s="137"/>
      <c r="D11" s="160"/>
      <c r="E11" s="160"/>
      <c r="F11" s="97" t="s">
        <v>83</v>
      </c>
      <c r="G11" s="82">
        <v>1</v>
      </c>
      <c r="H11" s="83">
        <v>100</v>
      </c>
      <c r="I11" s="83">
        <v>1</v>
      </c>
      <c r="J11" s="83">
        <v>1</v>
      </c>
      <c r="K11" s="83">
        <v>1</v>
      </c>
      <c r="L11" s="83">
        <v>1</v>
      </c>
      <c r="M11" s="83">
        <v>1</v>
      </c>
      <c r="N11" s="83">
        <v>20</v>
      </c>
      <c r="O11" s="83">
        <v>1</v>
      </c>
      <c r="P11" s="83">
        <v>1</v>
      </c>
      <c r="Q11" s="71"/>
      <c r="R11" s="71"/>
      <c r="S11" s="79"/>
      <c r="T11" s="80"/>
      <c r="U11" s="81"/>
      <c r="V11" s="201"/>
      <c r="W11" s="204"/>
      <c r="X11" s="195"/>
      <c r="Y11" s="12"/>
      <c r="Z11" s="6"/>
    </row>
    <row r="12" spans="1:26" ht="13.5" thickTop="1">
      <c r="A12" s="128"/>
      <c r="B12" s="129"/>
      <c r="C12" s="130"/>
      <c r="D12" s="161"/>
      <c r="E12" s="147"/>
      <c r="F12" s="153"/>
      <c r="G12" s="131"/>
      <c r="H12" s="132"/>
      <c r="I12" s="132"/>
      <c r="J12" s="132"/>
      <c r="K12" s="132"/>
      <c r="L12" s="132"/>
      <c r="M12" s="133"/>
      <c r="N12" s="133"/>
      <c r="O12" s="133"/>
      <c r="P12" s="133"/>
      <c r="Q12" s="134"/>
      <c r="R12" s="134"/>
      <c r="S12" s="135"/>
      <c r="T12" s="136"/>
      <c r="U12" s="123"/>
      <c r="V12" s="126"/>
      <c r="W12" s="127"/>
      <c r="X12" s="124"/>
      <c r="Y12" s="12"/>
      <c r="Z12" s="6"/>
    </row>
    <row r="13" spans="1:26" s="20" customFormat="1" ht="19.5" customHeight="1">
      <c r="A13" s="98"/>
      <c r="B13" s="99"/>
      <c r="C13" s="101">
        <f aca="true" t="shared" si="0" ref="C13:C72">IF(AND(B13&lt;=JJMin,B13&gt;=JJMax),JJKat,IF(AND(B13&lt;=JMin,B13&gt;=JMax),JKat,IF(AND(B13&lt;=AMin,B13&gt;=AMax),AKat,IF(AND(B13&lt;=SMin,B13&gt;=SMax),SKat,IF(AND(B13&lt;=VMin,B13&gt;=VMax),VKat,IF(AND(B13&lt;=VVMin,B13&gt;=VVMax),VVKat,""))))))</f>
      </c>
      <c r="D13" s="162"/>
      <c r="E13" s="100"/>
      <c r="F13" s="191"/>
      <c r="G13" s="164">
        <f>IF(A13="","",1)</f>
      </c>
      <c r="H13" s="106"/>
      <c r="I13" s="106">
        <f aca="true" t="shared" si="1" ref="I13:I44">IF(AND(G13=1,SektionTeilahme&lt;&gt;"nein"),1,"")</f>
      </c>
      <c r="J13" s="106">
        <f>IF(E13="","",1)</f>
      </c>
      <c r="K13" s="169">
        <f>IF(G13=1,1,"")</f>
      </c>
      <c r="L13" s="106"/>
      <c r="M13" s="106"/>
      <c r="N13" s="106"/>
      <c r="O13" s="106"/>
      <c r="P13" s="106"/>
      <c r="Q13" s="101"/>
      <c r="R13" s="101"/>
      <c r="S13" s="101">
        <f aca="true" t="shared" si="2" ref="S13:S72">IF(SUM(H13:R13)=0,"",SUMPRODUCT($G$8:$R$8,G13:R13))</f>
      </c>
      <c r="T13" s="108">
        <f>IF(S13="","",ROUNDUP(S13/10,0))</f>
      </c>
      <c r="U13" s="154">
        <f>IF(S13="","",IF(LEFT(C13,1)="J",SUMPRODUCT($G$10:$R$10,G13:R13),SUMPRODUCT($G$9:$R$9,G13:R13)))</f>
      </c>
      <c r="V13" s="109"/>
      <c r="W13" s="117"/>
      <c r="X13" s="104">
        <f>IF(W13="","",W13+T13*$X$6)</f>
      </c>
      <c r="Y13" s="18"/>
      <c r="Z13" s="19">
        <f aca="true" t="shared" si="3" ref="Z13:Z38">IF(AND(OR(C13="JJ",C13="VV"),G13=1,D13=""),1,0)</f>
        <v>0</v>
      </c>
    </row>
    <row r="14" spans="1:26" s="20" customFormat="1" ht="19.5" customHeight="1">
      <c r="A14" s="105"/>
      <c r="B14" s="106"/>
      <c r="C14" s="101">
        <f t="shared" si="0"/>
      </c>
      <c r="D14" s="162"/>
      <c r="E14" s="107"/>
      <c r="F14" s="191"/>
      <c r="G14" s="164">
        <f aca="true" t="shared" si="4" ref="G14:G72">IF(A14="","",1)</f>
      </c>
      <c r="H14" s="106"/>
      <c r="I14" s="106">
        <f t="shared" si="1"/>
      </c>
      <c r="J14" s="106">
        <f aca="true" t="shared" si="5" ref="J14:J72">IF(E14="","",1)</f>
      </c>
      <c r="K14" s="169">
        <f aca="true" t="shared" si="6" ref="K14:K72">IF(G14=1,1,"")</f>
      </c>
      <c r="L14" s="106"/>
      <c r="M14" s="106"/>
      <c r="N14" s="106"/>
      <c r="O14" s="106"/>
      <c r="P14" s="106"/>
      <c r="Q14" s="101"/>
      <c r="R14" s="101"/>
      <c r="S14" s="101">
        <f aca="true" t="shared" si="7" ref="S14:S24">IF(SUM(H14:R14)=0,"",SUMPRODUCT($G$8:$R$8,G14:R14))</f>
      </c>
      <c r="T14" s="108">
        <f aca="true" t="shared" si="8" ref="T14:T24">IF(S14="","",ROUNDUP(S14/10,0))</f>
      </c>
      <c r="U14" s="154">
        <f aca="true" t="shared" si="9" ref="U14:U24">IF(S14="","",IF(LEFT(C14,1)="J",SUMPRODUCT($G$10:$R$10,G14:R14),SUMPRODUCT($G$9:$R$9,G14:R14)))</f>
      </c>
      <c r="V14" s="109"/>
      <c r="W14" s="117"/>
      <c r="X14" s="104">
        <f>IF(W14="","",W14+T14*$X$6)</f>
      </c>
      <c r="Y14" s="18"/>
      <c r="Z14" s="19">
        <f t="shared" si="3"/>
        <v>0</v>
      </c>
    </row>
    <row r="15" spans="1:26" s="20" customFormat="1" ht="19.5" customHeight="1">
      <c r="A15" s="105"/>
      <c r="B15" s="106"/>
      <c r="C15" s="101">
        <f t="shared" si="0"/>
      </c>
      <c r="D15" s="162"/>
      <c r="E15" s="107"/>
      <c r="F15" s="191"/>
      <c r="G15" s="164">
        <f t="shared" si="4"/>
      </c>
      <c r="H15" s="106"/>
      <c r="I15" s="106">
        <f t="shared" si="1"/>
      </c>
      <c r="J15" s="106">
        <f t="shared" si="5"/>
      </c>
      <c r="K15" s="169">
        <f t="shared" si="6"/>
      </c>
      <c r="L15" s="106"/>
      <c r="M15" s="106"/>
      <c r="N15" s="106"/>
      <c r="O15" s="106"/>
      <c r="P15" s="106"/>
      <c r="Q15" s="101"/>
      <c r="R15" s="101"/>
      <c r="S15" s="101">
        <f t="shared" si="7"/>
      </c>
      <c r="T15" s="108">
        <f t="shared" si="8"/>
      </c>
      <c r="U15" s="154">
        <f t="shared" si="9"/>
      </c>
      <c r="V15" s="109"/>
      <c r="W15" s="117"/>
      <c r="X15" s="104">
        <f aca="true" t="shared" si="10" ref="X15:X64">IF(W15="","",W15+T15*$X$6)</f>
      </c>
      <c r="Y15" s="18"/>
      <c r="Z15" s="19">
        <f t="shared" si="3"/>
        <v>0</v>
      </c>
    </row>
    <row r="16" spans="1:26" s="20" customFormat="1" ht="19.5" customHeight="1">
      <c r="A16" s="105"/>
      <c r="B16" s="106"/>
      <c r="C16" s="101">
        <f t="shared" si="0"/>
      </c>
      <c r="D16" s="162"/>
      <c r="E16" s="107"/>
      <c r="F16" s="191"/>
      <c r="G16" s="164">
        <f t="shared" si="4"/>
      </c>
      <c r="H16" s="106"/>
      <c r="I16" s="106">
        <f t="shared" si="1"/>
      </c>
      <c r="J16" s="106">
        <f t="shared" si="5"/>
      </c>
      <c r="K16" s="169">
        <f t="shared" si="6"/>
      </c>
      <c r="L16" s="106"/>
      <c r="M16" s="106"/>
      <c r="N16" s="106"/>
      <c r="O16" s="106"/>
      <c r="P16" s="106"/>
      <c r="Q16" s="101"/>
      <c r="R16" s="101"/>
      <c r="S16" s="101">
        <f t="shared" si="7"/>
      </c>
      <c r="T16" s="108">
        <f t="shared" si="8"/>
      </c>
      <c r="U16" s="154">
        <f t="shared" si="9"/>
      </c>
      <c r="V16" s="109"/>
      <c r="W16" s="117"/>
      <c r="X16" s="104">
        <f t="shared" si="10"/>
      </c>
      <c r="Y16" s="18"/>
      <c r="Z16" s="19">
        <f t="shared" si="3"/>
        <v>0</v>
      </c>
    </row>
    <row r="17" spans="1:26" s="20" customFormat="1" ht="19.5" customHeight="1">
      <c r="A17" s="105"/>
      <c r="B17" s="106"/>
      <c r="C17" s="101">
        <f t="shared" si="0"/>
      </c>
      <c r="D17" s="162"/>
      <c r="E17" s="107"/>
      <c r="F17" s="191"/>
      <c r="G17" s="164">
        <f t="shared" si="4"/>
      </c>
      <c r="H17" s="106"/>
      <c r="I17" s="106">
        <f t="shared" si="1"/>
      </c>
      <c r="J17" s="106">
        <f t="shared" si="5"/>
      </c>
      <c r="K17" s="169">
        <f t="shared" si="6"/>
      </c>
      <c r="L17" s="106"/>
      <c r="M17" s="106"/>
      <c r="N17" s="106"/>
      <c r="O17" s="106"/>
      <c r="P17" s="106"/>
      <c r="Q17" s="101"/>
      <c r="R17" s="101"/>
      <c r="S17" s="101">
        <f t="shared" si="7"/>
      </c>
      <c r="T17" s="108">
        <f t="shared" si="8"/>
      </c>
      <c r="U17" s="154">
        <f t="shared" si="9"/>
      </c>
      <c r="V17" s="109"/>
      <c r="W17" s="117"/>
      <c r="X17" s="104">
        <f t="shared" si="10"/>
      </c>
      <c r="Y17" s="18"/>
      <c r="Z17" s="19">
        <f t="shared" si="3"/>
        <v>0</v>
      </c>
    </row>
    <row r="18" spans="1:26" s="20" customFormat="1" ht="19.5" customHeight="1">
      <c r="A18" s="105"/>
      <c r="B18" s="106"/>
      <c r="C18" s="101">
        <f t="shared" si="0"/>
      </c>
      <c r="D18" s="162"/>
      <c r="E18" s="107"/>
      <c r="F18" s="191"/>
      <c r="G18" s="164">
        <f t="shared" si="4"/>
      </c>
      <c r="H18" s="106"/>
      <c r="I18" s="106">
        <f t="shared" si="1"/>
      </c>
      <c r="J18" s="106">
        <f t="shared" si="5"/>
      </c>
      <c r="K18" s="169">
        <f t="shared" si="6"/>
      </c>
      <c r="L18" s="106"/>
      <c r="M18" s="106"/>
      <c r="N18" s="106"/>
      <c r="O18" s="106"/>
      <c r="P18" s="106"/>
      <c r="Q18" s="101"/>
      <c r="R18" s="101"/>
      <c r="S18" s="101">
        <f t="shared" si="7"/>
      </c>
      <c r="T18" s="108">
        <f t="shared" si="8"/>
      </c>
      <c r="U18" s="154">
        <f t="shared" si="9"/>
      </c>
      <c r="V18" s="109"/>
      <c r="W18" s="117"/>
      <c r="X18" s="104">
        <f t="shared" si="10"/>
      </c>
      <c r="Y18" s="18"/>
      <c r="Z18" s="19">
        <f t="shared" si="3"/>
        <v>0</v>
      </c>
    </row>
    <row r="19" spans="1:26" s="20" customFormat="1" ht="19.5" customHeight="1">
      <c r="A19" s="105"/>
      <c r="B19" s="106"/>
      <c r="C19" s="101">
        <f t="shared" si="0"/>
      </c>
      <c r="D19" s="162"/>
      <c r="E19" s="107"/>
      <c r="F19" s="191"/>
      <c r="G19" s="164">
        <f t="shared" si="4"/>
      </c>
      <c r="H19" s="106"/>
      <c r="I19" s="106">
        <f t="shared" si="1"/>
      </c>
      <c r="J19" s="106">
        <f t="shared" si="5"/>
      </c>
      <c r="K19" s="169">
        <f t="shared" si="6"/>
      </c>
      <c r="L19" s="106"/>
      <c r="M19" s="106"/>
      <c r="N19" s="106"/>
      <c r="O19" s="106"/>
      <c r="P19" s="106"/>
      <c r="Q19" s="101"/>
      <c r="R19" s="101"/>
      <c r="S19" s="101">
        <f t="shared" si="7"/>
      </c>
      <c r="T19" s="102">
        <f t="shared" si="8"/>
      </c>
      <c r="U19" s="103">
        <f t="shared" si="9"/>
      </c>
      <c r="V19" s="109"/>
      <c r="W19" s="117"/>
      <c r="X19" s="104">
        <f t="shared" si="10"/>
      </c>
      <c r="Y19" s="18"/>
      <c r="Z19" s="19">
        <f t="shared" si="3"/>
        <v>0</v>
      </c>
    </row>
    <row r="20" spans="1:26" s="20" customFormat="1" ht="19.5" customHeight="1">
      <c r="A20" s="105"/>
      <c r="B20" s="106"/>
      <c r="C20" s="101">
        <f t="shared" si="0"/>
      </c>
      <c r="D20" s="162"/>
      <c r="E20" s="107"/>
      <c r="F20" s="191"/>
      <c r="G20" s="164">
        <f t="shared" si="4"/>
      </c>
      <c r="H20" s="106"/>
      <c r="I20" s="106">
        <f t="shared" si="1"/>
      </c>
      <c r="J20" s="106">
        <f t="shared" si="5"/>
      </c>
      <c r="K20" s="169">
        <f t="shared" si="6"/>
      </c>
      <c r="L20" s="106"/>
      <c r="M20" s="106"/>
      <c r="N20" s="106"/>
      <c r="O20" s="106"/>
      <c r="P20" s="106"/>
      <c r="Q20" s="101"/>
      <c r="R20" s="101"/>
      <c r="S20" s="101">
        <f t="shared" si="7"/>
      </c>
      <c r="T20" s="102">
        <f t="shared" si="8"/>
      </c>
      <c r="U20" s="103">
        <f t="shared" si="9"/>
      </c>
      <c r="V20" s="109"/>
      <c r="W20" s="117"/>
      <c r="X20" s="104">
        <f t="shared" si="10"/>
      </c>
      <c r="Y20" s="18"/>
      <c r="Z20" s="19">
        <f t="shared" si="3"/>
        <v>0</v>
      </c>
    </row>
    <row r="21" spans="1:26" s="20" customFormat="1" ht="19.5" customHeight="1">
      <c r="A21" s="105"/>
      <c r="B21" s="106"/>
      <c r="C21" s="101">
        <f t="shared" si="0"/>
      </c>
      <c r="D21" s="162"/>
      <c r="E21" s="107"/>
      <c r="F21" s="191"/>
      <c r="G21" s="164">
        <f t="shared" si="4"/>
      </c>
      <c r="H21" s="106"/>
      <c r="I21" s="106">
        <f t="shared" si="1"/>
      </c>
      <c r="J21" s="106">
        <f t="shared" si="5"/>
      </c>
      <c r="K21" s="169">
        <f t="shared" si="6"/>
      </c>
      <c r="L21" s="106"/>
      <c r="M21" s="106"/>
      <c r="N21" s="106"/>
      <c r="O21" s="106"/>
      <c r="P21" s="106"/>
      <c r="Q21" s="101"/>
      <c r="R21" s="101"/>
      <c r="S21" s="101">
        <f t="shared" si="7"/>
      </c>
      <c r="T21" s="102">
        <f t="shared" si="8"/>
      </c>
      <c r="U21" s="103">
        <f t="shared" si="9"/>
      </c>
      <c r="V21" s="109"/>
      <c r="W21" s="117"/>
      <c r="X21" s="104">
        <f t="shared" si="10"/>
      </c>
      <c r="Y21" s="18"/>
      <c r="Z21" s="19">
        <f t="shared" si="3"/>
        <v>0</v>
      </c>
    </row>
    <row r="22" spans="1:26" s="20" customFormat="1" ht="19.5" customHeight="1">
      <c r="A22" s="105"/>
      <c r="B22" s="106"/>
      <c r="C22" s="101">
        <f t="shared" si="0"/>
      </c>
      <c r="D22" s="162"/>
      <c r="E22" s="107"/>
      <c r="F22" s="191"/>
      <c r="G22" s="164">
        <f t="shared" si="4"/>
      </c>
      <c r="H22" s="106"/>
      <c r="I22" s="106">
        <f t="shared" si="1"/>
      </c>
      <c r="J22" s="106">
        <f t="shared" si="5"/>
      </c>
      <c r="K22" s="169">
        <f t="shared" si="6"/>
      </c>
      <c r="L22" s="106"/>
      <c r="M22" s="106"/>
      <c r="N22" s="106"/>
      <c r="O22" s="106"/>
      <c r="P22" s="106"/>
      <c r="Q22" s="101"/>
      <c r="R22" s="101"/>
      <c r="S22" s="101">
        <f t="shared" si="7"/>
      </c>
      <c r="T22" s="102">
        <f t="shared" si="8"/>
      </c>
      <c r="U22" s="103">
        <f t="shared" si="9"/>
      </c>
      <c r="V22" s="109"/>
      <c r="W22" s="117"/>
      <c r="X22" s="104">
        <f t="shared" si="10"/>
      </c>
      <c r="Y22" s="18"/>
      <c r="Z22" s="19">
        <f t="shared" si="3"/>
        <v>0</v>
      </c>
    </row>
    <row r="23" spans="1:26" s="20" customFormat="1" ht="19.5" customHeight="1">
      <c r="A23" s="105"/>
      <c r="B23" s="106"/>
      <c r="C23" s="101">
        <f t="shared" si="0"/>
      </c>
      <c r="D23" s="162"/>
      <c r="E23" s="107"/>
      <c r="F23" s="191"/>
      <c r="G23" s="164">
        <f t="shared" si="4"/>
      </c>
      <c r="H23" s="106"/>
      <c r="I23" s="106">
        <f t="shared" si="1"/>
      </c>
      <c r="J23" s="106">
        <f t="shared" si="5"/>
      </c>
      <c r="K23" s="169">
        <f t="shared" si="6"/>
      </c>
      <c r="L23" s="106"/>
      <c r="M23" s="106"/>
      <c r="N23" s="106"/>
      <c r="O23" s="106"/>
      <c r="P23" s="106"/>
      <c r="Q23" s="101"/>
      <c r="R23" s="101"/>
      <c r="S23" s="101">
        <f t="shared" si="7"/>
      </c>
      <c r="T23" s="102">
        <f t="shared" si="8"/>
      </c>
      <c r="U23" s="103">
        <f t="shared" si="9"/>
      </c>
      <c r="V23" s="109"/>
      <c r="W23" s="117"/>
      <c r="X23" s="104">
        <f t="shared" si="10"/>
      </c>
      <c r="Y23" s="18"/>
      <c r="Z23" s="19">
        <f t="shared" si="3"/>
        <v>0</v>
      </c>
    </row>
    <row r="24" spans="1:26" s="20" customFormat="1" ht="19.5" customHeight="1">
      <c r="A24" s="105"/>
      <c r="B24" s="106"/>
      <c r="C24" s="101">
        <f t="shared" si="0"/>
      </c>
      <c r="D24" s="162"/>
      <c r="E24" s="107"/>
      <c r="F24" s="191"/>
      <c r="G24" s="164">
        <f t="shared" si="4"/>
      </c>
      <c r="H24" s="106"/>
      <c r="I24" s="106">
        <f t="shared" si="1"/>
      </c>
      <c r="J24" s="106">
        <f t="shared" si="5"/>
      </c>
      <c r="K24" s="169">
        <f t="shared" si="6"/>
      </c>
      <c r="L24" s="106"/>
      <c r="M24" s="106"/>
      <c r="N24" s="106"/>
      <c r="O24" s="106"/>
      <c r="P24" s="106"/>
      <c r="Q24" s="101"/>
      <c r="R24" s="101"/>
      <c r="S24" s="101">
        <f t="shared" si="7"/>
      </c>
      <c r="T24" s="102">
        <f t="shared" si="8"/>
      </c>
      <c r="U24" s="103">
        <f t="shared" si="9"/>
      </c>
      <c r="V24" s="109"/>
      <c r="W24" s="117"/>
      <c r="X24" s="104">
        <f t="shared" si="10"/>
      </c>
      <c r="Y24" s="18"/>
      <c r="Z24" s="19">
        <f t="shared" si="3"/>
        <v>0</v>
      </c>
    </row>
    <row r="25" spans="1:26" s="20" customFormat="1" ht="19.5" customHeight="1">
      <c r="A25" s="105"/>
      <c r="B25" s="106"/>
      <c r="C25" s="101">
        <f t="shared" si="0"/>
      </c>
      <c r="D25" s="162"/>
      <c r="E25" s="107"/>
      <c r="F25" s="191"/>
      <c r="G25" s="164">
        <f t="shared" si="4"/>
      </c>
      <c r="H25" s="106"/>
      <c r="I25" s="106">
        <f t="shared" si="1"/>
      </c>
      <c r="J25" s="106">
        <f t="shared" si="5"/>
      </c>
      <c r="K25" s="169">
        <f t="shared" si="6"/>
      </c>
      <c r="L25" s="106"/>
      <c r="M25" s="106"/>
      <c r="N25" s="106"/>
      <c r="O25" s="106"/>
      <c r="P25" s="106"/>
      <c r="Q25" s="101"/>
      <c r="R25" s="101"/>
      <c r="S25" s="101">
        <f t="shared" si="2"/>
      </c>
      <c r="T25" s="108">
        <f aca="true" t="shared" si="11" ref="T25:T72">IF(S25="","",ROUNDUP(S25/10,0))</f>
      </c>
      <c r="U25" s="103">
        <f aca="true" t="shared" si="12" ref="U25:U72">IF(S25="","",IF(LEFT(C25,1)="J",SUMPRODUCT($G$10:$R$10,G25:R25),SUMPRODUCT($G$9:$R$9,G25:R25)))</f>
      </c>
      <c r="V25" s="109"/>
      <c r="W25" s="117"/>
      <c r="X25" s="104">
        <f t="shared" si="10"/>
      </c>
      <c r="Y25" s="18"/>
      <c r="Z25" s="19">
        <f t="shared" si="3"/>
        <v>0</v>
      </c>
    </row>
    <row r="26" spans="1:26" s="20" customFormat="1" ht="19.5" customHeight="1">
      <c r="A26" s="105"/>
      <c r="B26" s="106"/>
      <c r="C26" s="101">
        <f t="shared" si="0"/>
      </c>
      <c r="D26" s="162"/>
      <c r="E26" s="107"/>
      <c r="F26" s="191"/>
      <c r="G26" s="164">
        <f t="shared" si="4"/>
      </c>
      <c r="H26" s="106"/>
      <c r="I26" s="106">
        <f t="shared" si="1"/>
      </c>
      <c r="J26" s="106">
        <f t="shared" si="5"/>
      </c>
      <c r="K26" s="169">
        <f t="shared" si="6"/>
      </c>
      <c r="L26" s="106"/>
      <c r="M26" s="106"/>
      <c r="N26" s="106"/>
      <c r="O26" s="106"/>
      <c r="P26" s="106"/>
      <c r="Q26" s="101"/>
      <c r="R26" s="101"/>
      <c r="S26" s="101">
        <f t="shared" si="2"/>
      </c>
      <c r="T26" s="108">
        <f t="shared" si="11"/>
      </c>
      <c r="U26" s="103">
        <f t="shared" si="12"/>
      </c>
      <c r="V26" s="109"/>
      <c r="W26" s="117"/>
      <c r="X26" s="104">
        <f t="shared" si="10"/>
      </c>
      <c r="Y26" s="18"/>
      <c r="Z26" s="19">
        <f t="shared" si="3"/>
        <v>0</v>
      </c>
    </row>
    <row r="27" spans="1:26" s="20" customFormat="1" ht="19.5" customHeight="1">
      <c r="A27" s="105"/>
      <c r="B27" s="106"/>
      <c r="C27" s="101">
        <f t="shared" si="0"/>
      </c>
      <c r="D27" s="162"/>
      <c r="E27" s="107"/>
      <c r="F27" s="191"/>
      <c r="G27" s="164">
        <f t="shared" si="4"/>
      </c>
      <c r="H27" s="106"/>
      <c r="I27" s="106">
        <f t="shared" si="1"/>
      </c>
      <c r="J27" s="106">
        <f t="shared" si="5"/>
      </c>
      <c r="K27" s="169">
        <f t="shared" si="6"/>
      </c>
      <c r="L27" s="106"/>
      <c r="M27" s="106"/>
      <c r="N27" s="106"/>
      <c r="O27" s="106"/>
      <c r="P27" s="106"/>
      <c r="Q27" s="101"/>
      <c r="R27" s="101"/>
      <c r="S27" s="101">
        <f t="shared" si="2"/>
      </c>
      <c r="T27" s="108">
        <f t="shared" si="11"/>
      </c>
      <c r="U27" s="103">
        <f t="shared" si="12"/>
      </c>
      <c r="V27" s="109"/>
      <c r="W27" s="117"/>
      <c r="X27" s="104">
        <f t="shared" si="10"/>
      </c>
      <c r="Y27" s="18"/>
      <c r="Z27" s="19">
        <f t="shared" si="3"/>
        <v>0</v>
      </c>
    </row>
    <row r="28" spans="1:26" s="20" customFormat="1" ht="19.5" customHeight="1">
      <c r="A28" s="105"/>
      <c r="B28" s="106"/>
      <c r="C28" s="101">
        <f t="shared" si="0"/>
      </c>
      <c r="D28" s="162"/>
      <c r="E28" s="107"/>
      <c r="F28" s="191"/>
      <c r="G28" s="164">
        <f t="shared" si="4"/>
      </c>
      <c r="H28" s="106"/>
      <c r="I28" s="106">
        <f t="shared" si="1"/>
      </c>
      <c r="J28" s="106">
        <f t="shared" si="5"/>
      </c>
      <c r="K28" s="169">
        <f t="shared" si="6"/>
      </c>
      <c r="L28" s="106"/>
      <c r="M28" s="106"/>
      <c r="N28" s="106"/>
      <c r="O28" s="106"/>
      <c r="P28" s="106"/>
      <c r="Q28" s="101"/>
      <c r="R28" s="101"/>
      <c r="S28" s="101">
        <f t="shared" si="2"/>
      </c>
      <c r="T28" s="108">
        <f t="shared" si="11"/>
      </c>
      <c r="U28" s="103">
        <f t="shared" si="12"/>
      </c>
      <c r="V28" s="109"/>
      <c r="W28" s="117"/>
      <c r="X28" s="104">
        <f t="shared" si="10"/>
      </c>
      <c r="Y28" s="18"/>
      <c r="Z28" s="19">
        <f t="shared" si="3"/>
        <v>0</v>
      </c>
    </row>
    <row r="29" spans="1:26" s="20" customFormat="1" ht="19.5" customHeight="1">
      <c r="A29" s="105"/>
      <c r="B29" s="106"/>
      <c r="C29" s="101">
        <f t="shared" si="0"/>
      </c>
      <c r="D29" s="162"/>
      <c r="E29" s="107"/>
      <c r="F29" s="191"/>
      <c r="G29" s="164">
        <f t="shared" si="4"/>
      </c>
      <c r="H29" s="106"/>
      <c r="I29" s="106">
        <f t="shared" si="1"/>
      </c>
      <c r="J29" s="106">
        <f t="shared" si="5"/>
      </c>
      <c r="K29" s="169">
        <f t="shared" si="6"/>
      </c>
      <c r="L29" s="106"/>
      <c r="M29" s="106"/>
      <c r="N29" s="106"/>
      <c r="O29" s="106"/>
      <c r="P29" s="106"/>
      <c r="Q29" s="101"/>
      <c r="R29" s="101"/>
      <c r="S29" s="101">
        <f t="shared" si="2"/>
      </c>
      <c r="T29" s="108">
        <f t="shared" si="11"/>
      </c>
      <c r="U29" s="103">
        <f t="shared" si="12"/>
      </c>
      <c r="V29" s="109"/>
      <c r="W29" s="117"/>
      <c r="X29" s="104">
        <f t="shared" si="10"/>
      </c>
      <c r="Y29" s="18"/>
      <c r="Z29" s="19">
        <f t="shared" si="3"/>
        <v>0</v>
      </c>
    </row>
    <row r="30" spans="1:26" s="20" customFormat="1" ht="19.5" customHeight="1">
      <c r="A30" s="105"/>
      <c r="B30" s="106"/>
      <c r="C30" s="101">
        <f t="shared" si="0"/>
      </c>
      <c r="D30" s="162"/>
      <c r="E30" s="107"/>
      <c r="F30" s="191"/>
      <c r="G30" s="164">
        <f t="shared" si="4"/>
      </c>
      <c r="H30" s="106"/>
      <c r="I30" s="106">
        <f t="shared" si="1"/>
      </c>
      <c r="J30" s="106">
        <f t="shared" si="5"/>
      </c>
      <c r="K30" s="169">
        <f t="shared" si="6"/>
      </c>
      <c r="L30" s="106"/>
      <c r="M30" s="106"/>
      <c r="N30" s="106"/>
      <c r="O30" s="106"/>
      <c r="P30" s="106"/>
      <c r="Q30" s="101"/>
      <c r="R30" s="101"/>
      <c r="S30" s="101">
        <f t="shared" si="2"/>
      </c>
      <c r="T30" s="108">
        <f t="shared" si="11"/>
      </c>
      <c r="U30" s="103">
        <f t="shared" si="12"/>
      </c>
      <c r="V30" s="109"/>
      <c r="W30" s="117"/>
      <c r="X30" s="104">
        <f t="shared" si="10"/>
      </c>
      <c r="Y30" s="18"/>
      <c r="Z30" s="19">
        <f t="shared" si="3"/>
        <v>0</v>
      </c>
    </row>
    <row r="31" spans="1:26" s="20" customFormat="1" ht="19.5" customHeight="1">
      <c r="A31" s="105"/>
      <c r="B31" s="106"/>
      <c r="C31" s="101">
        <f t="shared" si="0"/>
      </c>
      <c r="D31" s="162"/>
      <c r="E31" s="107"/>
      <c r="F31" s="191"/>
      <c r="G31" s="164">
        <f t="shared" si="4"/>
      </c>
      <c r="H31" s="106"/>
      <c r="I31" s="106">
        <f t="shared" si="1"/>
      </c>
      <c r="J31" s="106">
        <f t="shared" si="5"/>
      </c>
      <c r="K31" s="169">
        <f t="shared" si="6"/>
      </c>
      <c r="L31" s="106"/>
      <c r="M31" s="106"/>
      <c r="N31" s="106"/>
      <c r="O31" s="106"/>
      <c r="P31" s="106"/>
      <c r="Q31" s="101"/>
      <c r="R31" s="101"/>
      <c r="S31" s="101">
        <f t="shared" si="2"/>
      </c>
      <c r="T31" s="108">
        <f t="shared" si="11"/>
      </c>
      <c r="U31" s="103">
        <f t="shared" si="12"/>
      </c>
      <c r="V31" s="109"/>
      <c r="W31" s="117"/>
      <c r="X31" s="104">
        <f t="shared" si="10"/>
      </c>
      <c r="Y31" s="18"/>
      <c r="Z31" s="19">
        <f t="shared" si="3"/>
        <v>0</v>
      </c>
    </row>
    <row r="32" spans="1:26" s="20" customFormat="1" ht="19.5" customHeight="1">
      <c r="A32" s="105"/>
      <c r="B32" s="106"/>
      <c r="C32" s="101">
        <f t="shared" si="0"/>
      </c>
      <c r="D32" s="162"/>
      <c r="E32" s="107"/>
      <c r="F32" s="191"/>
      <c r="G32" s="164">
        <f t="shared" si="4"/>
      </c>
      <c r="H32" s="106"/>
      <c r="I32" s="106">
        <f t="shared" si="1"/>
      </c>
      <c r="J32" s="106">
        <f t="shared" si="5"/>
      </c>
      <c r="K32" s="169">
        <f t="shared" si="6"/>
      </c>
      <c r="L32" s="106"/>
      <c r="M32" s="106"/>
      <c r="N32" s="106"/>
      <c r="O32" s="106"/>
      <c r="P32" s="106"/>
      <c r="Q32" s="101"/>
      <c r="R32" s="101"/>
      <c r="S32" s="101">
        <f t="shared" si="2"/>
      </c>
      <c r="T32" s="108">
        <f t="shared" si="11"/>
      </c>
      <c r="U32" s="103">
        <f t="shared" si="12"/>
      </c>
      <c r="V32" s="109"/>
      <c r="W32" s="117"/>
      <c r="X32" s="104">
        <f t="shared" si="10"/>
      </c>
      <c r="Y32" s="18"/>
      <c r="Z32" s="19">
        <f t="shared" si="3"/>
        <v>0</v>
      </c>
    </row>
    <row r="33" spans="1:26" s="20" customFormat="1" ht="19.5" customHeight="1">
      <c r="A33" s="105"/>
      <c r="B33" s="106"/>
      <c r="C33" s="101">
        <f t="shared" si="0"/>
      </c>
      <c r="D33" s="162"/>
      <c r="E33" s="107"/>
      <c r="F33" s="191"/>
      <c r="G33" s="164">
        <f t="shared" si="4"/>
      </c>
      <c r="H33" s="106"/>
      <c r="I33" s="106">
        <f t="shared" si="1"/>
      </c>
      <c r="J33" s="106">
        <f t="shared" si="5"/>
      </c>
      <c r="K33" s="169">
        <f t="shared" si="6"/>
      </c>
      <c r="L33" s="106"/>
      <c r="M33" s="106"/>
      <c r="N33" s="106"/>
      <c r="O33" s="106"/>
      <c r="P33" s="106"/>
      <c r="Q33" s="101"/>
      <c r="R33" s="101"/>
      <c r="S33" s="101">
        <f t="shared" si="2"/>
      </c>
      <c r="T33" s="108">
        <f t="shared" si="11"/>
      </c>
      <c r="U33" s="103">
        <f t="shared" si="12"/>
      </c>
      <c r="V33" s="109"/>
      <c r="W33" s="117"/>
      <c r="X33" s="104">
        <f t="shared" si="10"/>
      </c>
      <c r="Y33" s="18"/>
      <c r="Z33" s="19">
        <f t="shared" si="3"/>
        <v>0</v>
      </c>
    </row>
    <row r="34" spans="1:26" s="20" customFormat="1" ht="19.5" customHeight="1">
      <c r="A34" s="105"/>
      <c r="B34" s="106"/>
      <c r="C34" s="101">
        <f t="shared" si="0"/>
      </c>
      <c r="D34" s="162"/>
      <c r="E34" s="107"/>
      <c r="F34" s="191"/>
      <c r="G34" s="164">
        <f t="shared" si="4"/>
      </c>
      <c r="H34" s="106"/>
      <c r="I34" s="106">
        <f t="shared" si="1"/>
      </c>
      <c r="J34" s="106">
        <f t="shared" si="5"/>
      </c>
      <c r="K34" s="169">
        <f t="shared" si="6"/>
      </c>
      <c r="L34" s="106"/>
      <c r="M34" s="106"/>
      <c r="N34" s="106"/>
      <c r="O34" s="106"/>
      <c r="P34" s="106"/>
      <c r="Q34" s="101"/>
      <c r="R34" s="101"/>
      <c r="S34" s="101">
        <f t="shared" si="2"/>
      </c>
      <c r="T34" s="108">
        <f t="shared" si="11"/>
      </c>
      <c r="U34" s="103">
        <f t="shared" si="12"/>
      </c>
      <c r="V34" s="109"/>
      <c r="W34" s="117"/>
      <c r="X34" s="104">
        <f t="shared" si="10"/>
      </c>
      <c r="Y34" s="18"/>
      <c r="Z34" s="19">
        <f t="shared" si="3"/>
        <v>0</v>
      </c>
    </row>
    <row r="35" spans="1:26" s="20" customFormat="1" ht="19.5" customHeight="1">
      <c r="A35" s="105"/>
      <c r="B35" s="106"/>
      <c r="C35" s="101">
        <f t="shared" si="0"/>
      </c>
      <c r="D35" s="162"/>
      <c r="E35" s="107"/>
      <c r="F35" s="191"/>
      <c r="G35" s="164">
        <f t="shared" si="4"/>
      </c>
      <c r="H35" s="106"/>
      <c r="I35" s="106">
        <f t="shared" si="1"/>
      </c>
      <c r="J35" s="106">
        <f t="shared" si="5"/>
      </c>
      <c r="K35" s="169">
        <f t="shared" si="6"/>
      </c>
      <c r="L35" s="106"/>
      <c r="M35" s="106"/>
      <c r="N35" s="106"/>
      <c r="O35" s="106"/>
      <c r="P35" s="106"/>
      <c r="Q35" s="101"/>
      <c r="R35" s="101"/>
      <c r="S35" s="101">
        <f t="shared" si="2"/>
      </c>
      <c r="T35" s="108">
        <f t="shared" si="11"/>
      </c>
      <c r="U35" s="103">
        <f t="shared" si="12"/>
      </c>
      <c r="V35" s="109"/>
      <c r="W35" s="117"/>
      <c r="X35" s="104">
        <f t="shared" si="10"/>
      </c>
      <c r="Y35" s="18"/>
      <c r="Z35" s="19">
        <f t="shared" si="3"/>
        <v>0</v>
      </c>
    </row>
    <row r="36" spans="1:26" s="20" customFormat="1" ht="19.5" customHeight="1">
      <c r="A36" s="105"/>
      <c r="B36" s="106"/>
      <c r="C36" s="101">
        <f t="shared" si="0"/>
      </c>
      <c r="D36" s="162"/>
      <c r="E36" s="107"/>
      <c r="F36" s="191"/>
      <c r="G36" s="164">
        <f t="shared" si="4"/>
      </c>
      <c r="H36" s="106"/>
      <c r="I36" s="106">
        <f t="shared" si="1"/>
      </c>
      <c r="J36" s="106">
        <f t="shared" si="5"/>
      </c>
      <c r="K36" s="169">
        <f t="shared" si="6"/>
      </c>
      <c r="L36" s="106"/>
      <c r="M36" s="106"/>
      <c r="N36" s="106"/>
      <c r="O36" s="106"/>
      <c r="P36" s="106"/>
      <c r="Q36" s="101"/>
      <c r="R36" s="101"/>
      <c r="S36" s="101">
        <f t="shared" si="2"/>
      </c>
      <c r="T36" s="108">
        <f t="shared" si="11"/>
      </c>
      <c r="U36" s="103">
        <f t="shared" si="12"/>
      </c>
      <c r="V36" s="109"/>
      <c r="W36" s="117"/>
      <c r="X36" s="104">
        <f t="shared" si="10"/>
      </c>
      <c r="Y36" s="18"/>
      <c r="Z36" s="19">
        <f t="shared" si="3"/>
        <v>0</v>
      </c>
    </row>
    <row r="37" spans="1:26" s="20" customFormat="1" ht="19.5" customHeight="1">
      <c r="A37" s="105"/>
      <c r="B37" s="106"/>
      <c r="C37" s="101">
        <f t="shared" si="0"/>
      </c>
      <c r="D37" s="162"/>
      <c r="E37" s="107"/>
      <c r="F37" s="191"/>
      <c r="G37" s="164">
        <f t="shared" si="4"/>
      </c>
      <c r="H37" s="106"/>
      <c r="I37" s="106">
        <f t="shared" si="1"/>
      </c>
      <c r="J37" s="106">
        <f t="shared" si="5"/>
      </c>
      <c r="K37" s="169">
        <f t="shared" si="6"/>
      </c>
      <c r="L37" s="106"/>
      <c r="M37" s="106"/>
      <c r="N37" s="106"/>
      <c r="O37" s="106"/>
      <c r="P37" s="106"/>
      <c r="Q37" s="101"/>
      <c r="R37" s="101"/>
      <c r="S37" s="101">
        <f t="shared" si="2"/>
      </c>
      <c r="T37" s="108">
        <f t="shared" si="11"/>
      </c>
      <c r="U37" s="103">
        <f t="shared" si="12"/>
      </c>
      <c r="V37" s="109"/>
      <c r="W37" s="117"/>
      <c r="X37" s="104">
        <f t="shared" si="10"/>
      </c>
      <c r="Y37" s="18"/>
      <c r="Z37" s="19">
        <f t="shared" si="3"/>
        <v>0</v>
      </c>
    </row>
    <row r="38" spans="1:26" s="20" customFormat="1" ht="19.5" customHeight="1">
      <c r="A38" s="105"/>
      <c r="B38" s="106"/>
      <c r="C38" s="101">
        <f t="shared" si="0"/>
      </c>
      <c r="D38" s="162"/>
      <c r="E38" s="107"/>
      <c r="F38" s="191"/>
      <c r="G38" s="164">
        <f t="shared" si="4"/>
      </c>
      <c r="H38" s="106"/>
      <c r="I38" s="106">
        <f t="shared" si="1"/>
      </c>
      <c r="J38" s="106">
        <f t="shared" si="5"/>
      </c>
      <c r="K38" s="169">
        <f t="shared" si="6"/>
      </c>
      <c r="L38" s="106"/>
      <c r="M38" s="106"/>
      <c r="N38" s="106"/>
      <c r="O38" s="106"/>
      <c r="P38" s="106"/>
      <c r="Q38" s="101"/>
      <c r="R38" s="101"/>
      <c r="S38" s="101">
        <f t="shared" si="2"/>
      </c>
      <c r="T38" s="108">
        <f t="shared" si="11"/>
      </c>
      <c r="U38" s="103">
        <f t="shared" si="12"/>
      </c>
      <c r="V38" s="109"/>
      <c r="W38" s="117"/>
      <c r="X38" s="104">
        <f t="shared" si="10"/>
      </c>
      <c r="Y38" s="18"/>
      <c r="Z38" s="19">
        <f t="shared" si="3"/>
        <v>0</v>
      </c>
    </row>
    <row r="39" spans="1:26" s="20" customFormat="1" ht="19.5" customHeight="1">
      <c r="A39" s="105"/>
      <c r="B39" s="106"/>
      <c r="C39" s="101">
        <f t="shared" si="0"/>
      </c>
      <c r="D39" s="162"/>
      <c r="E39" s="107"/>
      <c r="F39" s="191"/>
      <c r="G39" s="164">
        <f t="shared" si="4"/>
      </c>
      <c r="H39" s="106"/>
      <c r="I39" s="106">
        <f t="shared" si="1"/>
      </c>
      <c r="J39" s="106">
        <f t="shared" si="5"/>
      </c>
      <c r="K39" s="169">
        <f t="shared" si="6"/>
      </c>
      <c r="L39" s="106"/>
      <c r="M39" s="106"/>
      <c r="N39" s="106"/>
      <c r="O39" s="106"/>
      <c r="P39" s="106"/>
      <c r="Q39" s="101"/>
      <c r="R39" s="101"/>
      <c r="S39" s="101">
        <f t="shared" si="2"/>
      </c>
      <c r="T39" s="108">
        <f t="shared" si="11"/>
      </c>
      <c r="U39" s="103">
        <f t="shared" si="12"/>
      </c>
      <c r="V39" s="109"/>
      <c r="W39" s="117"/>
      <c r="X39" s="104">
        <f t="shared" si="10"/>
      </c>
      <c r="Y39" s="18"/>
      <c r="Z39" s="19">
        <f aca="true" t="shared" si="13" ref="Z39:Z50">IF(AND(OR(C39="JJ",C39="VV"),G39=1,D39=""),1,0)</f>
        <v>0</v>
      </c>
    </row>
    <row r="40" spans="1:26" s="20" customFormat="1" ht="19.5" customHeight="1">
      <c r="A40" s="105"/>
      <c r="B40" s="106"/>
      <c r="C40" s="101">
        <f t="shared" si="0"/>
      </c>
      <c r="D40" s="162"/>
      <c r="E40" s="107"/>
      <c r="F40" s="191"/>
      <c r="G40" s="164">
        <f t="shared" si="4"/>
      </c>
      <c r="H40" s="106"/>
      <c r="I40" s="106">
        <f t="shared" si="1"/>
      </c>
      <c r="J40" s="106">
        <f t="shared" si="5"/>
      </c>
      <c r="K40" s="169">
        <f t="shared" si="6"/>
      </c>
      <c r="L40" s="106"/>
      <c r="M40" s="106"/>
      <c r="N40" s="106"/>
      <c r="O40" s="106"/>
      <c r="P40" s="106"/>
      <c r="Q40" s="101"/>
      <c r="R40" s="101"/>
      <c r="S40" s="101">
        <f t="shared" si="2"/>
      </c>
      <c r="T40" s="108">
        <f t="shared" si="11"/>
      </c>
      <c r="U40" s="103">
        <f t="shared" si="12"/>
      </c>
      <c r="V40" s="109"/>
      <c r="W40" s="117"/>
      <c r="X40" s="104">
        <f t="shared" si="10"/>
      </c>
      <c r="Y40" s="18"/>
      <c r="Z40" s="19">
        <f t="shared" si="13"/>
        <v>0</v>
      </c>
    </row>
    <row r="41" spans="1:26" s="20" customFormat="1" ht="19.5" customHeight="1">
      <c r="A41" s="105"/>
      <c r="B41" s="106"/>
      <c r="C41" s="101">
        <f t="shared" si="0"/>
      </c>
      <c r="D41" s="162"/>
      <c r="E41" s="107"/>
      <c r="F41" s="191"/>
      <c r="G41" s="164">
        <f t="shared" si="4"/>
      </c>
      <c r="H41" s="106"/>
      <c r="I41" s="106">
        <f t="shared" si="1"/>
      </c>
      <c r="J41" s="106">
        <f t="shared" si="5"/>
      </c>
      <c r="K41" s="169">
        <f t="shared" si="6"/>
      </c>
      <c r="L41" s="106"/>
      <c r="M41" s="106"/>
      <c r="N41" s="106"/>
      <c r="O41" s="106"/>
      <c r="P41" s="106"/>
      <c r="Q41" s="101"/>
      <c r="R41" s="101"/>
      <c r="S41" s="101">
        <f t="shared" si="2"/>
      </c>
      <c r="T41" s="108">
        <f t="shared" si="11"/>
      </c>
      <c r="U41" s="103">
        <f t="shared" si="12"/>
      </c>
      <c r="V41" s="109"/>
      <c r="W41" s="117"/>
      <c r="X41" s="104">
        <f t="shared" si="10"/>
      </c>
      <c r="Y41" s="18"/>
      <c r="Z41" s="19">
        <f>IF(AND(OR(C41="JJ",C41="VV"),G41=1,D41=""),1,0)</f>
        <v>0</v>
      </c>
    </row>
    <row r="42" spans="1:26" s="20" customFormat="1" ht="19.5" customHeight="1">
      <c r="A42" s="105"/>
      <c r="B42" s="106"/>
      <c r="C42" s="101">
        <f t="shared" si="0"/>
      </c>
      <c r="D42" s="162"/>
      <c r="E42" s="107"/>
      <c r="F42" s="191"/>
      <c r="G42" s="164">
        <f t="shared" si="4"/>
      </c>
      <c r="H42" s="106"/>
      <c r="I42" s="106">
        <f t="shared" si="1"/>
      </c>
      <c r="J42" s="106">
        <f t="shared" si="5"/>
      </c>
      <c r="K42" s="169">
        <f t="shared" si="6"/>
      </c>
      <c r="L42" s="106"/>
      <c r="M42" s="106"/>
      <c r="N42" s="106"/>
      <c r="O42" s="106"/>
      <c r="P42" s="106"/>
      <c r="Q42" s="101"/>
      <c r="R42" s="101"/>
      <c r="S42" s="101">
        <f t="shared" si="2"/>
      </c>
      <c r="T42" s="108">
        <f t="shared" si="11"/>
      </c>
      <c r="U42" s="103">
        <f t="shared" si="12"/>
      </c>
      <c r="V42" s="109"/>
      <c r="W42" s="117"/>
      <c r="X42" s="104">
        <f t="shared" si="10"/>
      </c>
      <c r="Y42" s="18"/>
      <c r="Z42" s="19">
        <f>IF(AND(OR(C42="JJ",C42="VV"),G42=1,D42=""),1,0)</f>
        <v>0</v>
      </c>
    </row>
    <row r="43" spans="1:26" s="20" customFormat="1" ht="19.5" customHeight="1">
      <c r="A43" s="105"/>
      <c r="B43" s="106"/>
      <c r="C43" s="101">
        <f t="shared" si="0"/>
      </c>
      <c r="D43" s="162"/>
      <c r="E43" s="107"/>
      <c r="F43" s="191"/>
      <c r="G43" s="164">
        <f t="shared" si="4"/>
      </c>
      <c r="H43" s="106"/>
      <c r="I43" s="106">
        <f t="shared" si="1"/>
      </c>
      <c r="J43" s="106">
        <f t="shared" si="5"/>
      </c>
      <c r="K43" s="169">
        <f t="shared" si="6"/>
      </c>
      <c r="L43" s="106"/>
      <c r="M43" s="106"/>
      <c r="N43" s="106"/>
      <c r="O43" s="106"/>
      <c r="P43" s="106"/>
      <c r="Q43" s="101"/>
      <c r="R43" s="101"/>
      <c r="S43" s="101">
        <f t="shared" si="2"/>
      </c>
      <c r="T43" s="108">
        <f t="shared" si="11"/>
      </c>
      <c r="U43" s="103">
        <f t="shared" si="12"/>
      </c>
      <c r="V43" s="109"/>
      <c r="W43" s="117"/>
      <c r="X43" s="104">
        <f t="shared" si="10"/>
      </c>
      <c r="Y43" s="18"/>
      <c r="Z43" s="19">
        <f>IF(AND(OR(C43="JJ",C43="VV"),G43=1,D43=""),1,0)</f>
        <v>0</v>
      </c>
    </row>
    <row r="44" spans="1:26" s="20" customFormat="1" ht="19.5" customHeight="1">
      <c r="A44" s="105"/>
      <c r="B44" s="106"/>
      <c r="C44" s="101">
        <f t="shared" si="0"/>
      </c>
      <c r="D44" s="162"/>
      <c r="E44" s="107"/>
      <c r="F44" s="191"/>
      <c r="G44" s="164">
        <f t="shared" si="4"/>
      </c>
      <c r="H44" s="106"/>
      <c r="I44" s="106">
        <f t="shared" si="1"/>
      </c>
      <c r="J44" s="106">
        <f t="shared" si="5"/>
      </c>
      <c r="K44" s="169">
        <f t="shared" si="6"/>
      </c>
      <c r="L44" s="106"/>
      <c r="M44" s="106"/>
      <c r="N44" s="106"/>
      <c r="O44" s="106"/>
      <c r="P44" s="106"/>
      <c r="Q44" s="101"/>
      <c r="R44" s="101"/>
      <c r="S44" s="101">
        <f t="shared" si="2"/>
      </c>
      <c r="T44" s="108">
        <f t="shared" si="11"/>
      </c>
      <c r="U44" s="103">
        <f t="shared" si="12"/>
      </c>
      <c r="V44" s="109"/>
      <c r="W44" s="117"/>
      <c r="X44" s="104">
        <f t="shared" si="10"/>
      </c>
      <c r="Y44" s="18"/>
      <c r="Z44" s="19">
        <f>IF(AND(OR(C44="JJ",C44="VV"),G44=1,D44=""),1,0)</f>
        <v>0</v>
      </c>
    </row>
    <row r="45" spans="1:26" s="20" customFormat="1" ht="19.5" customHeight="1">
      <c r="A45" s="105"/>
      <c r="B45" s="106"/>
      <c r="C45" s="101">
        <f t="shared" si="0"/>
      </c>
      <c r="D45" s="162"/>
      <c r="E45" s="107"/>
      <c r="F45" s="191"/>
      <c r="G45" s="164">
        <f t="shared" si="4"/>
      </c>
      <c r="H45" s="106"/>
      <c r="I45" s="106">
        <f aca="true" t="shared" si="14" ref="I45:I72">IF(AND(G45=1,SektionTeilahme&lt;&gt;"nein"),1,"")</f>
      </c>
      <c r="J45" s="106">
        <f t="shared" si="5"/>
      </c>
      <c r="K45" s="169">
        <f t="shared" si="6"/>
      </c>
      <c r="L45" s="106"/>
      <c r="M45" s="106"/>
      <c r="N45" s="106"/>
      <c r="O45" s="106"/>
      <c r="P45" s="106"/>
      <c r="Q45" s="101"/>
      <c r="R45" s="101"/>
      <c r="S45" s="101">
        <f t="shared" si="2"/>
      </c>
      <c r="T45" s="108">
        <f t="shared" si="11"/>
      </c>
      <c r="U45" s="103">
        <f t="shared" si="12"/>
      </c>
      <c r="V45" s="109"/>
      <c r="W45" s="117"/>
      <c r="X45" s="104">
        <f t="shared" si="10"/>
      </c>
      <c r="Y45" s="18"/>
      <c r="Z45" s="19">
        <f t="shared" si="13"/>
        <v>0</v>
      </c>
    </row>
    <row r="46" spans="1:26" s="20" customFormat="1" ht="19.5" customHeight="1">
      <c r="A46" s="105"/>
      <c r="B46" s="106"/>
      <c r="C46" s="101">
        <f t="shared" si="0"/>
      </c>
      <c r="D46" s="162"/>
      <c r="E46" s="107"/>
      <c r="F46" s="191"/>
      <c r="G46" s="164">
        <f t="shared" si="4"/>
      </c>
      <c r="H46" s="106"/>
      <c r="I46" s="106">
        <f t="shared" si="14"/>
      </c>
      <c r="J46" s="106">
        <f t="shared" si="5"/>
      </c>
      <c r="K46" s="169">
        <f t="shared" si="6"/>
      </c>
      <c r="L46" s="106"/>
      <c r="M46" s="106"/>
      <c r="N46" s="106"/>
      <c r="O46" s="106"/>
      <c r="P46" s="106"/>
      <c r="Q46" s="101"/>
      <c r="R46" s="101"/>
      <c r="S46" s="101">
        <f t="shared" si="2"/>
      </c>
      <c r="T46" s="108">
        <f t="shared" si="11"/>
      </c>
      <c r="U46" s="103">
        <f t="shared" si="12"/>
      </c>
      <c r="V46" s="109"/>
      <c r="W46" s="117"/>
      <c r="X46" s="104">
        <f t="shared" si="10"/>
      </c>
      <c r="Y46" s="18"/>
      <c r="Z46" s="19">
        <f t="shared" si="13"/>
        <v>0</v>
      </c>
    </row>
    <row r="47" spans="1:26" s="20" customFormat="1" ht="19.5" customHeight="1">
      <c r="A47" s="105"/>
      <c r="B47" s="106"/>
      <c r="C47" s="101">
        <f t="shared" si="0"/>
      </c>
      <c r="D47" s="162"/>
      <c r="E47" s="107"/>
      <c r="F47" s="191"/>
      <c r="G47" s="164">
        <f t="shared" si="4"/>
      </c>
      <c r="H47" s="106"/>
      <c r="I47" s="106">
        <f t="shared" si="14"/>
      </c>
      <c r="J47" s="106">
        <f t="shared" si="5"/>
      </c>
      <c r="K47" s="169">
        <f t="shared" si="6"/>
      </c>
      <c r="L47" s="106"/>
      <c r="M47" s="106"/>
      <c r="N47" s="106"/>
      <c r="O47" s="106"/>
      <c r="P47" s="106"/>
      <c r="Q47" s="101"/>
      <c r="R47" s="101"/>
      <c r="S47" s="101">
        <f t="shared" si="2"/>
      </c>
      <c r="T47" s="108">
        <f t="shared" si="11"/>
      </c>
      <c r="U47" s="103">
        <f t="shared" si="12"/>
      </c>
      <c r="V47" s="109"/>
      <c r="W47" s="117"/>
      <c r="X47" s="104">
        <f t="shared" si="10"/>
      </c>
      <c r="Y47" s="18"/>
      <c r="Z47" s="19">
        <f t="shared" si="13"/>
        <v>0</v>
      </c>
    </row>
    <row r="48" spans="1:26" s="20" customFormat="1" ht="19.5" customHeight="1">
      <c r="A48" s="105"/>
      <c r="B48" s="106"/>
      <c r="C48" s="101">
        <f t="shared" si="0"/>
      </c>
      <c r="D48" s="162"/>
      <c r="E48" s="107"/>
      <c r="F48" s="191"/>
      <c r="G48" s="164">
        <f t="shared" si="4"/>
      </c>
      <c r="H48" s="106"/>
      <c r="I48" s="106">
        <f t="shared" si="14"/>
      </c>
      <c r="J48" s="106">
        <f t="shared" si="5"/>
      </c>
      <c r="K48" s="169">
        <f t="shared" si="6"/>
      </c>
      <c r="L48" s="106"/>
      <c r="M48" s="106"/>
      <c r="N48" s="106"/>
      <c r="O48" s="106"/>
      <c r="P48" s="106"/>
      <c r="Q48" s="101"/>
      <c r="R48" s="101"/>
      <c r="S48" s="101">
        <f t="shared" si="2"/>
      </c>
      <c r="T48" s="108">
        <f t="shared" si="11"/>
      </c>
      <c r="U48" s="103">
        <f t="shared" si="12"/>
      </c>
      <c r="V48" s="109"/>
      <c r="W48" s="117"/>
      <c r="X48" s="104">
        <f t="shared" si="10"/>
      </c>
      <c r="Y48" s="18"/>
      <c r="Z48" s="19">
        <f t="shared" si="13"/>
        <v>0</v>
      </c>
    </row>
    <row r="49" spans="1:26" s="20" customFormat="1" ht="19.5" customHeight="1">
      <c r="A49" s="105"/>
      <c r="B49" s="106"/>
      <c r="C49" s="101">
        <f t="shared" si="0"/>
      </c>
      <c r="D49" s="162"/>
      <c r="E49" s="107"/>
      <c r="F49" s="191"/>
      <c r="G49" s="164">
        <f t="shared" si="4"/>
      </c>
      <c r="H49" s="106"/>
      <c r="I49" s="106">
        <f t="shared" si="14"/>
      </c>
      <c r="J49" s="106">
        <f t="shared" si="5"/>
      </c>
      <c r="K49" s="169">
        <f t="shared" si="6"/>
      </c>
      <c r="L49" s="106"/>
      <c r="M49" s="106"/>
      <c r="N49" s="106"/>
      <c r="O49" s="106"/>
      <c r="P49" s="106"/>
      <c r="Q49" s="101"/>
      <c r="R49" s="101"/>
      <c r="S49" s="101">
        <f t="shared" si="2"/>
      </c>
      <c r="T49" s="108">
        <f t="shared" si="11"/>
      </c>
      <c r="U49" s="103">
        <f t="shared" si="12"/>
      </c>
      <c r="V49" s="109"/>
      <c r="W49" s="117"/>
      <c r="X49" s="104">
        <f t="shared" si="10"/>
      </c>
      <c r="Y49" s="18"/>
      <c r="Z49" s="19">
        <f t="shared" si="13"/>
        <v>0</v>
      </c>
    </row>
    <row r="50" spans="1:26" s="20" customFormat="1" ht="19.5" customHeight="1">
      <c r="A50" s="105"/>
      <c r="B50" s="106"/>
      <c r="C50" s="101">
        <f t="shared" si="0"/>
      </c>
      <c r="D50" s="162"/>
      <c r="E50" s="107"/>
      <c r="F50" s="191"/>
      <c r="G50" s="164">
        <f t="shared" si="4"/>
      </c>
      <c r="H50" s="106"/>
      <c r="I50" s="106">
        <f t="shared" si="14"/>
      </c>
      <c r="J50" s="106">
        <f t="shared" si="5"/>
      </c>
      <c r="K50" s="169">
        <f t="shared" si="6"/>
      </c>
      <c r="L50" s="106"/>
      <c r="M50" s="106"/>
      <c r="N50" s="106"/>
      <c r="O50" s="106"/>
      <c r="P50" s="106"/>
      <c r="Q50" s="101"/>
      <c r="R50" s="101"/>
      <c r="S50" s="101">
        <f t="shared" si="2"/>
      </c>
      <c r="T50" s="108">
        <f t="shared" si="11"/>
      </c>
      <c r="U50" s="103">
        <f t="shared" si="12"/>
      </c>
      <c r="V50" s="109"/>
      <c r="W50" s="117"/>
      <c r="X50" s="104">
        <f t="shared" si="10"/>
      </c>
      <c r="Y50" s="18"/>
      <c r="Z50" s="19">
        <f t="shared" si="13"/>
        <v>0</v>
      </c>
    </row>
    <row r="51" spans="1:26" s="20" customFormat="1" ht="19.5" customHeight="1">
      <c r="A51" s="105"/>
      <c r="B51" s="106"/>
      <c r="C51" s="101">
        <f t="shared" si="0"/>
      </c>
      <c r="D51" s="162"/>
      <c r="E51" s="107"/>
      <c r="F51" s="191"/>
      <c r="G51" s="164">
        <f t="shared" si="4"/>
      </c>
      <c r="H51" s="106"/>
      <c r="I51" s="106">
        <f t="shared" si="14"/>
      </c>
      <c r="J51" s="106">
        <f t="shared" si="5"/>
      </c>
      <c r="K51" s="169">
        <f t="shared" si="6"/>
      </c>
      <c r="L51" s="106"/>
      <c r="M51" s="106"/>
      <c r="N51" s="106"/>
      <c r="O51" s="106"/>
      <c r="P51" s="106"/>
      <c r="Q51" s="101"/>
      <c r="R51" s="101"/>
      <c r="S51" s="101">
        <f t="shared" si="2"/>
      </c>
      <c r="T51" s="108">
        <f aca="true" t="shared" si="15" ref="T51:T58">IF(S51="","",ROUNDUP(S51/10,0))</f>
      </c>
      <c r="U51" s="103">
        <f t="shared" si="12"/>
      </c>
      <c r="V51" s="109"/>
      <c r="W51" s="117"/>
      <c r="X51" s="104">
        <f t="shared" si="10"/>
      </c>
      <c r="Y51" s="18"/>
      <c r="Z51" s="19">
        <f>IF(AND(OR(C51="JJ",C51="VV"),G51=1,D51=""),1,0)</f>
        <v>0</v>
      </c>
    </row>
    <row r="52" spans="1:26" s="20" customFormat="1" ht="19.5" customHeight="1">
      <c r="A52" s="105"/>
      <c r="B52" s="106"/>
      <c r="C52" s="101">
        <f t="shared" si="0"/>
      </c>
      <c r="D52" s="162"/>
      <c r="E52" s="107"/>
      <c r="F52" s="191"/>
      <c r="G52" s="164">
        <f t="shared" si="4"/>
      </c>
      <c r="H52" s="106"/>
      <c r="I52" s="106">
        <f t="shared" si="14"/>
      </c>
      <c r="J52" s="106">
        <f t="shared" si="5"/>
      </c>
      <c r="K52" s="169">
        <f t="shared" si="6"/>
      </c>
      <c r="L52" s="106"/>
      <c r="M52" s="106"/>
      <c r="N52" s="106"/>
      <c r="O52" s="106"/>
      <c r="P52" s="106"/>
      <c r="Q52" s="101"/>
      <c r="R52" s="101"/>
      <c r="S52" s="101">
        <f t="shared" si="2"/>
      </c>
      <c r="T52" s="108">
        <f t="shared" si="15"/>
      </c>
      <c r="U52" s="103">
        <f t="shared" si="12"/>
      </c>
      <c r="V52" s="109"/>
      <c r="W52" s="117"/>
      <c r="X52" s="104">
        <f t="shared" si="10"/>
      </c>
      <c r="Y52" s="18"/>
      <c r="Z52" s="19">
        <f>IF(AND(OR(C52="JJ",C52="VV"),G52=1,D52=""),1,0)</f>
        <v>0</v>
      </c>
    </row>
    <row r="53" spans="1:26" s="20" customFormat="1" ht="19.5" customHeight="1">
      <c r="A53" s="105"/>
      <c r="B53" s="106"/>
      <c r="C53" s="101">
        <f t="shared" si="0"/>
      </c>
      <c r="D53" s="162"/>
      <c r="E53" s="107"/>
      <c r="F53" s="191"/>
      <c r="G53" s="164">
        <f t="shared" si="4"/>
      </c>
      <c r="H53" s="106"/>
      <c r="I53" s="106">
        <f t="shared" si="14"/>
      </c>
      <c r="J53" s="106">
        <f t="shared" si="5"/>
      </c>
      <c r="K53" s="169">
        <f t="shared" si="6"/>
      </c>
      <c r="L53" s="106"/>
      <c r="M53" s="106"/>
      <c r="N53" s="106"/>
      <c r="O53" s="106"/>
      <c r="P53" s="106"/>
      <c r="Q53" s="101"/>
      <c r="R53" s="101"/>
      <c r="S53" s="101">
        <f t="shared" si="2"/>
      </c>
      <c r="T53" s="108">
        <f t="shared" si="15"/>
      </c>
      <c r="U53" s="103">
        <f t="shared" si="12"/>
      </c>
      <c r="V53" s="109"/>
      <c r="W53" s="117"/>
      <c r="X53" s="104">
        <f t="shared" si="10"/>
      </c>
      <c r="Y53" s="18"/>
      <c r="Z53" s="19">
        <f aca="true" t="shared" si="16" ref="Z53:Z58">IF(AND(OR(C53="JJ",C53="VV"),G53=1,D53=""),1,0)</f>
        <v>0</v>
      </c>
    </row>
    <row r="54" spans="1:26" s="20" customFormat="1" ht="19.5" customHeight="1">
      <c r="A54" s="105"/>
      <c r="B54" s="106"/>
      <c r="C54" s="101">
        <f t="shared" si="0"/>
      </c>
      <c r="D54" s="162"/>
      <c r="E54" s="107"/>
      <c r="F54" s="191"/>
      <c r="G54" s="164">
        <f t="shared" si="4"/>
      </c>
      <c r="H54" s="106"/>
      <c r="I54" s="106">
        <f t="shared" si="14"/>
      </c>
      <c r="J54" s="106">
        <f t="shared" si="5"/>
      </c>
      <c r="K54" s="169">
        <f t="shared" si="6"/>
      </c>
      <c r="L54" s="106"/>
      <c r="M54" s="106"/>
      <c r="N54" s="106"/>
      <c r="O54" s="106"/>
      <c r="P54" s="106"/>
      <c r="Q54" s="101"/>
      <c r="R54" s="101"/>
      <c r="S54" s="101">
        <f t="shared" si="2"/>
      </c>
      <c r="T54" s="108">
        <f t="shared" si="15"/>
      </c>
      <c r="U54" s="103">
        <f t="shared" si="12"/>
      </c>
      <c r="V54" s="109"/>
      <c r="W54" s="117"/>
      <c r="X54" s="104">
        <f t="shared" si="10"/>
      </c>
      <c r="Y54" s="18"/>
      <c r="Z54" s="19">
        <f t="shared" si="16"/>
        <v>0</v>
      </c>
    </row>
    <row r="55" spans="1:26" s="20" customFormat="1" ht="19.5" customHeight="1">
      <c r="A55" s="105"/>
      <c r="B55" s="106"/>
      <c r="C55" s="101">
        <f t="shared" si="0"/>
      </c>
      <c r="D55" s="162"/>
      <c r="E55" s="107"/>
      <c r="F55" s="191"/>
      <c r="G55" s="164">
        <f t="shared" si="4"/>
      </c>
      <c r="H55" s="106"/>
      <c r="I55" s="106">
        <f t="shared" si="14"/>
      </c>
      <c r="J55" s="106">
        <f t="shared" si="5"/>
      </c>
      <c r="K55" s="169">
        <f t="shared" si="6"/>
      </c>
      <c r="L55" s="106"/>
      <c r="M55" s="106"/>
      <c r="N55" s="106"/>
      <c r="O55" s="106"/>
      <c r="P55" s="106"/>
      <c r="Q55" s="101"/>
      <c r="R55" s="101"/>
      <c r="S55" s="101">
        <f t="shared" si="2"/>
      </c>
      <c r="T55" s="108">
        <f t="shared" si="15"/>
      </c>
      <c r="U55" s="103">
        <f t="shared" si="12"/>
      </c>
      <c r="V55" s="109"/>
      <c r="W55" s="117"/>
      <c r="X55" s="104">
        <f t="shared" si="10"/>
      </c>
      <c r="Y55" s="18"/>
      <c r="Z55" s="19">
        <f t="shared" si="16"/>
        <v>0</v>
      </c>
    </row>
    <row r="56" spans="1:26" s="20" customFormat="1" ht="19.5" customHeight="1">
      <c r="A56" s="105"/>
      <c r="B56" s="106"/>
      <c r="C56" s="101">
        <f t="shared" si="0"/>
      </c>
      <c r="D56" s="162"/>
      <c r="E56" s="107"/>
      <c r="F56" s="191"/>
      <c r="G56" s="164">
        <f t="shared" si="4"/>
      </c>
      <c r="H56" s="106"/>
      <c r="I56" s="106">
        <f t="shared" si="14"/>
      </c>
      <c r="J56" s="106">
        <f t="shared" si="5"/>
      </c>
      <c r="K56" s="169">
        <f t="shared" si="6"/>
      </c>
      <c r="L56" s="106"/>
      <c r="M56" s="106"/>
      <c r="N56" s="106"/>
      <c r="O56" s="106"/>
      <c r="P56" s="106"/>
      <c r="Q56" s="101"/>
      <c r="R56" s="101"/>
      <c r="S56" s="101">
        <f t="shared" si="2"/>
      </c>
      <c r="T56" s="108">
        <f t="shared" si="15"/>
      </c>
      <c r="U56" s="103">
        <f t="shared" si="12"/>
      </c>
      <c r="V56" s="109"/>
      <c r="W56" s="117"/>
      <c r="X56" s="104">
        <f t="shared" si="10"/>
      </c>
      <c r="Y56" s="18"/>
      <c r="Z56" s="19">
        <f t="shared" si="16"/>
        <v>0</v>
      </c>
    </row>
    <row r="57" spans="1:26" s="20" customFormat="1" ht="19.5" customHeight="1">
      <c r="A57" s="105"/>
      <c r="B57" s="106"/>
      <c r="C57" s="101">
        <f t="shared" si="0"/>
      </c>
      <c r="D57" s="162"/>
      <c r="E57" s="107"/>
      <c r="F57" s="191"/>
      <c r="G57" s="164">
        <f t="shared" si="4"/>
      </c>
      <c r="H57" s="106"/>
      <c r="I57" s="106">
        <f t="shared" si="14"/>
      </c>
      <c r="J57" s="106">
        <f t="shared" si="5"/>
      </c>
      <c r="K57" s="169">
        <f t="shared" si="6"/>
      </c>
      <c r="L57" s="106"/>
      <c r="M57" s="106"/>
      <c r="N57" s="106"/>
      <c r="O57" s="106"/>
      <c r="P57" s="106"/>
      <c r="Q57" s="101"/>
      <c r="R57" s="101"/>
      <c r="S57" s="101">
        <f t="shared" si="2"/>
      </c>
      <c r="T57" s="108">
        <f t="shared" si="15"/>
      </c>
      <c r="U57" s="103">
        <f t="shared" si="12"/>
      </c>
      <c r="V57" s="109"/>
      <c r="W57" s="117"/>
      <c r="X57" s="104">
        <f t="shared" si="10"/>
      </c>
      <c r="Y57" s="18"/>
      <c r="Z57" s="19">
        <f t="shared" si="16"/>
        <v>0</v>
      </c>
    </row>
    <row r="58" spans="1:26" s="20" customFormat="1" ht="19.5" customHeight="1">
      <c r="A58" s="105"/>
      <c r="B58" s="106"/>
      <c r="C58" s="101">
        <f t="shared" si="0"/>
      </c>
      <c r="D58" s="162"/>
      <c r="E58" s="107"/>
      <c r="F58" s="191"/>
      <c r="G58" s="164">
        <f t="shared" si="4"/>
      </c>
      <c r="H58" s="106"/>
      <c r="I58" s="106">
        <f t="shared" si="14"/>
      </c>
      <c r="J58" s="106">
        <f t="shared" si="5"/>
      </c>
      <c r="K58" s="169">
        <f t="shared" si="6"/>
      </c>
      <c r="L58" s="106"/>
      <c r="M58" s="106"/>
      <c r="N58" s="106"/>
      <c r="O58" s="106"/>
      <c r="P58" s="106"/>
      <c r="Q58" s="101"/>
      <c r="R58" s="101"/>
      <c r="S58" s="101">
        <f t="shared" si="2"/>
      </c>
      <c r="T58" s="108">
        <f t="shared" si="15"/>
      </c>
      <c r="U58" s="103">
        <f t="shared" si="12"/>
      </c>
      <c r="V58" s="109"/>
      <c r="W58" s="117"/>
      <c r="X58" s="104">
        <f t="shared" si="10"/>
      </c>
      <c r="Y58" s="18"/>
      <c r="Z58" s="19">
        <f t="shared" si="16"/>
        <v>0</v>
      </c>
    </row>
    <row r="59" spans="1:26" s="20" customFormat="1" ht="19.5" customHeight="1">
      <c r="A59" s="105"/>
      <c r="B59" s="106"/>
      <c r="C59" s="101">
        <f t="shared" si="0"/>
      </c>
      <c r="D59" s="162"/>
      <c r="E59" s="107"/>
      <c r="F59" s="191"/>
      <c r="G59" s="164">
        <f t="shared" si="4"/>
      </c>
      <c r="H59" s="106"/>
      <c r="I59" s="106">
        <f t="shared" si="14"/>
      </c>
      <c r="J59" s="106">
        <f t="shared" si="5"/>
      </c>
      <c r="K59" s="169">
        <f t="shared" si="6"/>
      </c>
      <c r="L59" s="106"/>
      <c r="M59" s="106"/>
      <c r="N59" s="106"/>
      <c r="O59" s="106"/>
      <c r="P59" s="106"/>
      <c r="Q59" s="101"/>
      <c r="R59" s="101"/>
      <c r="S59" s="101">
        <f t="shared" si="2"/>
      </c>
      <c r="T59" s="108">
        <f t="shared" si="11"/>
      </c>
      <c r="U59" s="103">
        <f t="shared" si="12"/>
      </c>
      <c r="V59" s="109"/>
      <c r="W59" s="117"/>
      <c r="X59" s="104">
        <f t="shared" si="10"/>
      </c>
      <c r="Y59" s="18"/>
      <c r="Z59" s="19">
        <f>IF(AND(OR(C59="JJ",C59="VV"),G59=1,D59=""),1,0)</f>
        <v>0</v>
      </c>
    </row>
    <row r="60" spans="1:26" s="20" customFormat="1" ht="19.5" customHeight="1">
      <c r="A60" s="105"/>
      <c r="B60" s="106"/>
      <c r="C60" s="101">
        <f t="shared" si="0"/>
      </c>
      <c r="D60" s="162"/>
      <c r="E60" s="107"/>
      <c r="F60" s="191"/>
      <c r="G60" s="164">
        <f t="shared" si="4"/>
      </c>
      <c r="H60" s="106"/>
      <c r="I60" s="106">
        <f t="shared" si="14"/>
      </c>
      <c r="J60" s="106">
        <f t="shared" si="5"/>
      </c>
      <c r="K60" s="169">
        <f t="shared" si="6"/>
      </c>
      <c r="L60" s="106"/>
      <c r="M60" s="106"/>
      <c r="N60" s="106"/>
      <c r="O60" s="106"/>
      <c r="P60" s="106"/>
      <c r="Q60" s="101"/>
      <c r="R60" s="101"/>
      <c r="S60" s="101">
        <f t="shared" si="2"/>
      </c>
      <c r="T60" s="108">
        <f t="shared" si="11"/>
      </c>
      <c r="U60" s="103">
        <f t="shared" si="12"/>
      </c>
      <c r="V60" s="109"/>
      <c r="W60" s="117"/>
      <c r="X60" s="104">
        <f t="shared" si="10"/>
      </c>
      <c r="Y60" s="18"/>
      <c r="Z60" s="19">
        <f>IF(AND(OR(C60="JJ",C60="VV"),G60=1,D60=""),1,0)</f>
        <v>0</v>
      </c>
    </row>
    <row r="61" spans="1:26" s="20" customFormat="1" ht="19.5" customHeight="1">
      <c r="A61" s="105"/>
      <c r="B61" s="106"/>
      <c r="C61" s="101">
        <f t="shared" si="0"/>
      </c>
      <c r="D61" s="162"/>
      <c r="E61" s="107"/>
      <c r="F61" s="191"/>
      <c r="G61" s="164">
        <f t="shared" si="4"/>
      </c>
      <c r="H61" s="106"/>
      <c r="I61" s="106">
        <f t="shared" si="14"/>
      </c>
      <c r="J61" s="106">
        <f t="shared" si="5"/>
      </c>
      <c r="K61" s="169">
        <f t="shared" si="6"/>
      </c>
      <c r="L61" s="106"/>
      <c r="M61" s="106"/>
      <c r="N61" s="106"/>
      <c r="O61" s="106"/>
      <c r="P61" s="106"/>
      <c r="Q61" s="101"/>
      <c r="R61" s="101"/>
      <c r="S61" s="101">
        <f t="shared" si="2"/>
      </c>
      <c r="T61" s="108">
        <f aca="true" t="shared" si="17" ref="T61:T69">IF(S61="","",ROUNDUP(S61/10,0))</f>
      </c>
      <c r="U61" s="103">
        <f t="shared" si="12"/>
      </c>
      <c r="V61" s="109"/>
      <c r="W61" s="117"/>
      <c r="X61" s="104">
        <f t="shared" si="10"/>
      </c>
      <c r="Y61" s="18"/>
      <c r="Z61" s="19">
        <f>IF(AND(OR(C61="JJ",C61="VV"),G61=1,D61=""),1,0)</f>
        <v>0</v>
      </c>
    </row>
    <row r="62" spans="1:26" s="20" customFormat="1" ht="19.5" customHeight="1">
      <c r="A62" s="105"/>
      <c r="B62" s="106"/>
      <c r="C62" s="101">
        <f t="shared" si="0"/>
      </c>
      <c r="D62" s="162"/>
      <c r="E62" s="107"/>
      <c r="F62" s="191"/>
      <c r="G62" s="164">
        <f t="shared" si="4"/>
      </c>
      <c r="H62" s="106"/>
      <c r="I62" s="106">
        <f t="shared" si="14"/>
      </c>
      <c r="J62" s="106">
        <f t="shared" si="5"/>
      </c>
      <c r="K62" s="169">
        <f t="shared" si="6"/>
      </c>
      <c r="L62" s="106"/>
      <c r="M62" s="106"/>
      <c r="N62" s="106"/>
      <c r="O62" s="106"/>
      <c r="P62" s="106"/>
      <c r="Q62" s="101"/>
      <c r="R62" s="101"/>
      <c r="S62" s="101">
        <f t="shared" si="2"/>
      </c>
      <c r="T62" s="108">
        <f t="shared" si="17"/>
      </c>
      <c r="U62" s="103">
        <f t="shared" si="12"/>
      </c>
      <c r="V62" s="109"/>
      <c r="W62" s="117"/>
      <c r="X62" s="104">
        <f t="shared" si="10"/>
      </c>
      <c r="Y62" s="18"/>
      <c r="Z62" s="19">
        <f aca="true" t="shared" si="18" ref="Z62:Z67">IF(AND(OR(C62="JJ",C62="VV"),G62=1,D62=""),1,0)</f>
        <v>0</v>
      </c>
    </row>
    <row r="63" spans="1:26" s="20" customFormat="1" ht="19.5" customHeight="1">
      <c r="A63" s="105"/>
      <c r="B63" s="106"/>
      <c r="C63" s="101">
        <f t="shared" si="0"/>
      </c>
      <c r="D63" s="162"/>
      <c r="E63" s="107"/>
      <c r="F63" s="191"/>
      <c r="G63" s="164">
        <f t="shared" si="4"/>
      </c>
      <c r="H63" s="106"/>
      <c r="I63" s="106">
        <f t="shared" si="14"/>
      </c>
      <c r="J63" s="106">
        <f t="shared" si="5"/>
      </c>
      <c r="K63" s="169">
        <f t="shared" si="6"/>
      </c>
      <c r="L63" s="106"/>
      <c r="M63" s="106"/>
      <c r="N63" s="106"/>
      <c r="O63" s="106"/>
      <c r="P63" s="106"/>
      <c r="Q63" s="101"/>
      <c r="R63" s="101"/>
      <c r="S63" s="101">
        <f t="shared" si="2"/>
      </c>
      <c r="T63" s="108">
        <f t="shared" si="17"/>
      </c>
      <c r="U63" s="103">
        <f t="shared" si="12"/>
      </c>
      <c r="V63" s="109"/>
      <c r="W63" s="117"/>
      <c r="X63" s="104">
        <f t="shared" si="10"/>
      </c>
      <c r="Y63" s="18"/>
      <c r="Z63" s="19">
        <f t="shared" si="18"/>
        <v>0</v>
      </c>
    </row>
    <row r="64" spans="1:26" s="20" customFormat="1" ht="19.5" customHeight="1">
      <c r="A64" s="105"/>
      <c r="B64" s="106"/>
      <c r="C64" s="101">
        <f t="shared" si="0"/>
      </c>
      <c r="D64" s="162"/>
      <c r="E64" s="107"/>
      <c r="F64" s="191"/>
      <c r="G64" s="164">
        <f t="shared" si="4"/>
      </c>
      <c r="H64" s="106"/>
      <c r="I64" s="106">
        <f t="shared" si="14"/>
      </c>
      <c r="J64" s="106">
        <f t="shared" si="5"/>
      </c>
      <c r="K64" s="169">
        <f t="shared" si="6"/>
      </c>
      <c r="L64" s="106"/>
      <c r="M64" s="106"/>
      <c r="N64" s="106"/>
      <c r="O64" s="106"/>
      <c r="P64" s="106"/>
      <c r="Q64" s="101"/>
      <c r="R64" s="101"/>
      <c r="S64" s="101">
        <f t="shared" si="2"/>
      </c>
      <c r="T64" s="108">
        <f t="shared" si="17"/>
      </c>
      <c r="U64" s="103">
        <f t="shared" si="12"/>
      </c>
      <c r="V64" s="109"/>
      <c r="W64" s="117"/>
      <c r="X64" s="104">
        <f t="shared" si="10"/>
      </c>
      <c r="Y64" s="18"/>
      <c r="Z64" s="19">
        <f t="shared" si="18"/>
        <v>0</v>
      </c>
    </row>
    <row r="65" spans="1:26" s="20" customFormat="1" ht="19.5" customHeight="1">
      <c r="A65" s="105"/>
      <c r="B65" s="106"/>
      <c r="C65" s="101">
        <f t="shared" si="0"/>
      </c>
      <c r="D65" s="162"/>
      <c r="E65" s="107"/>
      <c r="F65" s="191"/>
      <c r="G65" s="164">
        <f t="shared" si="4"/>
      </c>
      <c r="H65" s="106"/>
      <c r="I65" s="106">
        <f t="shared" si="14"/>
      </c>
      <c r="J65" s="106">
        <f t="shared" si="5"/>
      </c>
      <c r="K65" s="169">
        <f t="shared" si="6"/>
      </c>
      <c r="L65" s="106"/>
      <c r="M65" s="106"/>
      <c r="N65" s="106"/>
      <c r="O65" s="106"/>
      <c r="P65" s="106"/>
      <c r="Q65" s="101"/>
      <c r="R65" s="101"/>
      <c r="S65" s="101">
        <f t="shared" si="2"/>
      </c>
      <c r="T65" s="108">
        <f t="shared" si="17"/>
      </c>
      <c r="U65" s="103">
        <f t="shared" si="12"/>
      </c>
      <c r="V65" s="109"/>
      <c r="W65" s="117"/>
      <c r="X65" s="104">
        <f aca="true" t="shared" si="19" ref="X65:X72">IF(W65="","",W65+T65*$X$6)</f>
      </c>
      <c r="Y65" s="18"/>
      <c r="Z65" s="19">
        <f t="shared" si="18"/>
        <v>0</v>
      </c>
    </row>
    <row r="66" spans="1:26" s="20" customFormat="1" ht="19.5" customHeight="1">
      <c r="A66" s="105"/>
      <c r="B66" s="106"/>
      <c r="C66" s="101">
        <f t="shared" si="0"/>
      </c>
      <c r="D66" s="162"/>
      <c r="E66" s="107"/>
      <c r="F66" s="191"/>
      <c r="G66" s="164">
        <f t="shared" si="4"/>
      </c>
      <c r="H66" s="106"/>
      <c r="I66" s="106">
        <f t="shared" si="14"/>
      </c>
      <c r="J66" s="106">
        <f t="shared" si="5"/>
      </c>
      <c r="K66" s="169">
        <f t="shared" si="6"/>
      </c>
      <c r="L66" s="106"/>
      <c r="M66" s="106"/>
      <c r="N66" s="106"/>
      <c r="O66" s="106"/>
      <c r="P66" s="106"/>
      <c r="Q66" s="101"/>
      <c r="R66" s="101"/>
      <c r="S66" s="101">
        <f t="shared" si="2"/>
      </c>
      <c r="T66" s="108">
        <f t="shared" si="17"/>
      </c>
      <c r="U66" s="103">
        <f t="shared" si="12"/>
      </c>
      <c r="V66" s="109"/>
      <c r="W66" s="117"/>
      <c r="X66" s="104">
        <f t="shared" si="19"/>
      </c>
      <c r="Y66" s="18"/>
      <c r="Z66" s="19">
        <f t="shared" si="18"/>
        <v>0</v>
      </c>
    </row>
    <row r="67" spans="1:26" s="20" customFormat="1" ht="19.5" customHeight="1">
      <c r="A67" s="105"/>
      <c r="B67" s="106"/>
      <c r="C67" s="101">
        <f t="shared" si="0"/>
      </c>
      <c r="D67" s="162"/>
      <c r="E67" s="107"/>
      <c r="F67" s="191"/>
      <c r="G67" s="164">
        <f t="shared" si="4"/>
      </c>
      <c r="H67" s="106"/>
      <c r="I67" s="106">
        <f t="shared" si="14"/>
      </c>
      <c r="J67" s="106">
        <f t="shared" si="5"/>
      </c>
      <c r="K67" s="169">
        <f t="shared" si="6"/>
      </c>
      <c r="L67" s="106"/>
      <c r="M67" s="106"/>
      <c r="N67" s="106"/>
      <c r="O67" s="106"/>
      <c r="P67" s="106"/>
      <c r="Q67" s="101"/>
      <c r="R67" s="101"/>
      <c r="S67" s="101">
        <f t="shared" si="2"/>
      </c>
      <c r="T67" s="108">
        <f t="shared" si="17"/>
      </c>
      <c r="U67" s="103">
        <f t="shared" si="12"/>
      </c>
      <c r="V67" s="109"/>
      <c r="W67" s="117"/>
      <c r="X67" s="104">
        <f t="shared" si="19"/>
      </c>
      <c r="Y67" s="18"/>
      <c r="Z67" s="19">
        <f t="shared" si="18"/>
        <v>0</v>
      </c>
    </row>
    <row r="68" spans="1:26" s="20" customFormat="1" ht="19.5" customHeight="1">
      <c r="A68" s="105"/>
      <c r="B68" s="106"/>
      <c r="C68" s="101">
        <f t="shared" si="0"/>
      </c>
      <c r="D68" s="162"/>
      <c r="E68" s="107"/>
      <c r="F68" s="191"/>
      <c r="G68" s="164">
        <f t="shared" si="4"/>
      </c>
      <c r="H68" s="106"/>
      <c r="I68" s="106">
        <f t="shared" si="14"/>
      </c>
      <c r="J68" s="106">
        <f t="shared" si="5"/>
      </c>
      <c r="K68" s="169">
        <f t="shared" si="6"/>
      </c>
      <c r="L68" s="106"/>
      <c r="M68" s="106"/>
      <c r="N68" s="106"/>
      <c r="O68" s="106"/>
      <c r="P68" s="106"/>
      <c r="Q68" s="101"/>
      <c r="R68" s="101"/>
      <c r="S68" s="101">
        <f t="shared" si="2"/>
      </c>
      <c r="T68" s="108">
        <f t="shared" si="17"/>
      </c>
      <c r="U68" s="103">
        <f t="shared" si="12"/>
      </c>
      <c r="V68" s="109"/>
      <c r="W68" s="117"/>
      <c r="X68" s="104">
        <f t="shared" si="19"/>
      </c>
      <c r="Y68" s="18"/>
      <c r="Z68" s="19">
        <f>IF(AND(OR(C68="JJ",C68="VV"),G68=1,D68=""),1,0)</f>
        <v>0</v>
      </c>
    </row>
    <row r="69" spans="1:26" s="20" customFormat="1" ht="19.5" customHeight="1">
      <c r="A69" s="105"/>
      <c r="B69" s="106"/>
      <c r="C69" s="101">
        <f t="shared" si="0"/>
      </c>
      <c r="D69" s="162"/>
      <c r="E69" s="107"/>
      <c r="F69" s="191"/>
      <c r="G69" s="164">
        <f t="shared" si="4"/>
      </c>
      <c r="H69" s="106"/>
      <c r="I69" s="106">
        <f t="shared" si="14"/>
      </c>
      <c r="J69" s="106">
        <f t="shared" si="5"/>
      </c>
      <c r="K69" s="169">
        <f t="shared" si="6"/>
      </c>
      <c r="L69" s="106"/>
      <c r="M69" s="106"/>
      <c r="N69" s="106"/>
      <c r="O69" s="106"/>
      <c r="P69" s="106"/>
      <c r="Q69" s="101"/>
      <c r="R69" s="101"/>
      <c r="S69" s="101">
        <f t="shared" si="2"/>
      </c>
      <c r="T69" s="108">
        <f t="shared" si="17"/>
      </c>
      <c r="U69" s="103">
        <f t="shared" si="12"/>
      </c>
      <c r="V69" s="109"/>
      <c r="W69" s="117"/>
      <c r="X69" s="104">
        <f t="shared" si="19"/>
      </c>
      <c r="Y69" s="18"/>
      <c r="Z69" s="19">
        <f>IF(AND(OR(C69="JJ",C69="VV"),G69=1,D69=""),1,0)</f>
        <v>0</v>
      </c>
    </row>
    <row r="70" spans="1:26" s="20" customFormat="1" ht="19.5" customHeight="1">
      <c r="A70" s="105"/>
      <c r="B70" s="106"/>
      <c r="C70" s="101">
        <f t="shared" si="0"/>
      </c>
      <c r="D70" s="162"/>
      <c r="E70" s="107"/>
      <c r="F70" s="191"/>
      <c r="G70" s="164">
        <f t="shared" si="4"/>
      </c>
      <c r="H70" s="106"/>
      <c r="I70" s="106">
        <f t="shared" si="14"/>
      </c>
      <c r="J70" s="106">
        <f t="shared" si="5"/>
      </c>
      <c r="K70" s="169">
        <f t="shared" si="6"/>
      </c>
      <c r="L70" s="106"/>
      <c r="M70" s="106"/>
      <c r="N70" s="106"/>
      <c r="O70" s="106"/>
      <c r="P70" s="106"/>
      <c r="Q70" s="101"/>
      <c r="R70" s="101"/>
      <c r="S70" s="101">
        <f t="shared" si="2"/>
      </c>
      <c r="T70" s="108">
        <f t="shared" si="11"/>
      </c>
      <c r="U70" s="103">
        <f t="shared" si="12"/>
      </c>
      <c r="V70" s="109"/>
      <c r="W70" s="117"/>
      <c r="X70" s="104">
        <f t="shared" si="19"/>
      </c>
      <c r="Y70" s="18"/>
      <c r="Z70" s="19">
        <f>IF(AND(OR(C70="JJ",C70="VV"),G70=1,D70=""),1,0)</f>
        <v>0</v>
      </c>
    </row>
    <row r="71" spans="1:26" s="20" customFormat="1" ht="19.5" customHeight="1">
      <c r="A71" s="105"/>
      <c r="B71" s="106"/>
      <c r="C71" s="101">
        <f t="shared" si="0"/>
      </c>
      <c r="D71" s="162"/>
      <c r="E71" s="107"/>
      <c r="F71" s="191"/>
      <c r="G71" s="164">
        <f t="shared" si="4"/>
      </c>
      <c r="H71" s="106"/>
      <c r="I71" s="106">
        <f t="shared" si="14"/>
      </c>
      <c r="J71" s="106">
        <f t="shared" si="5"/>
      </c>
      <c r="K71" s="169">
        <f t="shared" si="6"/>
      </c>
      <c r="L71" s="106"/>
      <c r="M71" s="106"/>
      <c r="N71" s="106"/>
      <c r="O71" s="106"/>
      <c r="P71" s="106"/>
      <c r="Q71" s="101"/>
      <c r="R71" s="101"/>
      <c r="S71" s="101">
        <f t="shared" si="2"/>
      </c>
      <c r="T71" s="108">
        <f t="shared" si="11"/>
      </c>
      <c r="U71" s="103">
        <f t="shared" si="12"/>
      </c>
      <c r="V71" s="109"/>
      <c r="W71" s="117"/>
      <c r="X71" s="104">
        <f t="shared" si="19"/>
      </c>
      <c r="Y71" s="18"/>
      <c r="Z71" s="19">
        <f>IF(AND(OR(C71="JJ",C71="VV"),G71=1,D71=""),1,0)</f>
        <v>0</v>
      </c>
    </row>
    <row r="72" spans="1:26" s="20" customFormat="1" ht="19.5" customHeight="1" thickBot="1">
      <c r="A72" s="110"/>
      <c r="B72" s="111"/>
      <c r="C72" s="113">
        <f t="shared" si="0"/>
      </c>
      <c r="D72" s="163"/>
      <c r="E72" s="112"/>
      <c r="F72" s="192"/>
      <c r="G72" s="164">
        <f t="shared" si="4"/>
      </c>
      <c r="H72" s="111"/>
      <c r="I72" s="106">
        <f t="shared" si="14"/>
      </c>
      <c r="J72" s="106">
        <f t="shared" si="5"/>
      </c>
      <c r="K72" s="169">
        <f t="shared" si="6"/>
      </c>
      <c r="L72" s="111"/>
      <c r="M72" s="111"/>
      <c r="N72" s="111"/>
      <c r="O72" s="111"/>
      <c r="P72" s="111"/>
      <c r="Q72" s="113"/>
      <c r="R72" s="113"/>
      <c r="S72" s="113">
        <f t="shared" si="2"/>
      </c>
      <c r="T72" s="113">
        <f t="shared" si="11"/>
      </c>
      <c r="U72" s="114">
        <f t="shared" si="12"/>
      </c>
      <c r="V72" s="115"/>
      <c r="W72" s="118"/>
      <c r="X72" s="116">
        <f t="shared" si="19"/>
      </c>
      <c r="Y72" s="18"/>
      <c r="Z72" s="19">
        <f>IF(AND(OR(C72="JJ",C72="VV"),G72=1,D72=""),1,0)</f>
        <v>0</v>
      </c>
    </row>
    <row r="73" ht="13.5" thickTop="1"/>
  </sheetData>
  <sheetProtection/>
  <autoFilter ref="A12:X72"/>
  <mergeCells count="12">
    <mergeCell ref="X7:X11"/>
    <mergeCell ref="T7:T10"/>
    <mergeCell ref="E5:I5"/>
    <mergeCell ref="V6:W6"/>
    <mergeCell ref="V7:V11"/>
    <mergeCell ref="W7:W11"/>
    <mergeCell ref="A2:I2"/>
    <mergeCell ref="A4:I4"/>
    <mergeCell ref="A1:L1"/>
    <mergeCell ref="S7:S10"/>
    <mergeCell ref="U7:U10"/>
    <mergeCell ref="F13:F72"/>
  </mergeCells>
  <conditionalFormatting sqref="D50 D45 D70:D72 D62 D53 D13:D38">
    <cfRule type="expression" priority="13" dxfId="0" stopIfTrue="1">
      <formula>IF($Z13=1,1,0)</formula>
    </cfRule>
  </conditionalFormatting>
  <conditionalFormatting sqref="D39:D40">
    <cfRule type="expression" priority="12" dxfId="0" stopIfTrue="1">
      <formula>IF($Z39=1,1,0)</formula>
    </cfRule>
  </conditionalFormatting>
  <conditionalFormatting sqref="D59:D60">
    <cfRule type="expression" priority="11" dxfId="0" stopIfTrue="1">
      <formula>IF($Z59=1,1,0)</formula>
    </cfRule>
  </conditionalFormatting>
  <conditionalFormatting sqref="D46:D49">
    <cfRule type="expression" priority="10" dxfId="0" stopIfTrue="1">
      <formula>IF($Z46=1,1,0)</formula>
    </cfRule>
  </conditionalFormatting>
  <conditionalFormatting sqref="D41:D44">
    <cfRule type="expression" priority="9" dxfId="0" stopIfTrue="1">
      <formula>IF($Z41=1,1,0)</formula>
    </cfRule>
  </conditionalFormatting>
  <conditionalFormatting sqref="D67">
    <cfRule type="expression" priority="8" dxfId="0" stopIfTrue="1">
      <formula>IF($Z67=1,1,0)</formula>
    </cfRule>
  </conditionalFormatting>
  <conditionalFormatting sqref="D68:D69">
    <cfRule type="expression" priority="7" dxfId="0" stopIfTrue="1">
      <formula>IF($Z68=1,1,0)</formula>
    </cfRule>
  </conditionalFormatting>
  <conditionalFormatting sqref="D63:D66">
    <cfRule type="expression" priority="6" dxfId="0" stopIfTrue="1">
      <formula>IF($Z63=1,1,0)</formula>
    </cfRule>
  </conditionalFormatting>
  <conditionalFormatting sqref="D61">
    <cfRule type="expression" priority="5" dxfId="0" stopIfTrue="1">
      <formula>IF($Z61=1,1,0)</formula>
    </cfRule>
  </conditionalFormatting>
  <conditionalFormatting sqref="D58">
    <cfRule type="expression" priority="4" dxfId="0" stopIfTrue="1">
      <formula>IF($Z58=1,1,0)</formula>
    </cfRule>
  </conditionalFormatting>
  <conditionalFormatting sqref="D54:D57">
    <cfRule type="expression" priority="3" dxfId="0" stopIfTrue="1">
      <formula>IF($Z54=1,1,0)</formula>
    </cfRule>
  </conditionalFormatting>
  <conditionalFormatting sqref="D51:D52">
    <cfRule type="expression" priority="2" dxfId="0" stopIfTrue="1">
      <formula>IF($Z51=1,1,0)</formula>
    </cfRule>
  </conditionalFormatting>
  <printOptions/>
  <pageMargins left="0.3937007874015748" right="0.3937007874015748" top="0.5905511811023623" bottom="0.5905511811023623" header="0.3937007874015748" footer="0.3937007874015748"/>
  <pageSetup blackAndWhite="1" fitToHeight="0" fitToWidth="1" horizontalDpi="600" verticalDpi="600" orientation="landscape" paperSize="9" scale="58" r:id="rId2"/>
  <headerFooter alignWithMargins="0">
    <oddFooter>&amp;C&amp;D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</dc:title>
  <dc:subject/>
  <dc:creator>keiser</dc:creator>
  <cp:keywords/>
  <dc:description/>
  <cp:lastModifiedBy>Marco Dalle Case</cp:lastModifiedBy>
  <cp:lastPrinted>2017-02-05T20:39:30Z</cp:lastPrinted>
  <dcterms:created xsi:type="dcterms:W3CDTF">2002-07-04T20:09:21Z</dcterms:created>
  <dcterms:modified xsi:type="dcterms:W3CDTF">2017-02-05T21:20:33Z</dcterms:modified>
  <cp:category/>
  <cp:version/>
  <cp:contentType/>
  <cp:contentStatus/>
</cp:coreProperties>
</file>